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-15" windowWidth="7995" windowHeight="9825"/>
  </bookViews>
  <sheets>
    <sheet name="A2XP with Stand-alone Bump Test" sheetId="5" r:id="rId1"/>
    <sheet name="A2XT Two-Tox Detector" sheetId="4" r:id="rId2"/>
    <sheet name="A2X with Standard XCell Sensors" sheetId="3" r:id="rId3"/>
  </sheets>
  <calcPr calcId="145621"/>
</workbook>
</file>

<file path=xl/calcChain.xml><?xml version="1.0" encoding="utf-8"?>
<calcChain xmlns="http://schemas.openxmlformats.org/spreadsheetml/2006/main">
  <c r="E21" i="3" l="1"/>
  <c r="B21" i="3"/>
  <c r="E21" i="4"/>
  <c r="B21" i="4"/>
  <c r="E26" i="5"/>
  <c r="B26" i="5"/>
  <c r="E26" i="4" l="1"/>
  <c r="E23" i="4"/>
  <c r="B26" i="4"/>
  <c r="B23" i="4"/>
  <c r="C23" i="4" s="1"/>
  <c r="E26" i="3"/>
  <c r="F26" i="3" s="1"/>
  <c r="E23" i="3"/>
  <c r="F23" i="3" s="1"/>
  <c r="B26" i="3"/>
  <c r="B23" i="3"/>
  <c r="C26" i="4" l="1"/>
  <c r="C26" i="3"/>
  <c r="C23" i="3"/>
  <c r="I40" i="5" l="1"/>
  <c r="E31" i="5"/>
  <c r="B31" i="5"/>
  <c r="C31" i="5" s="1"/>
  <c r="E28" i="5"/>
  <c r="B28" i="5"/>
  <c r="E30" i="5"/>
  <c r="F30" i="5" s="1"/>
  <c r="B30" i="5"/>
  <c r="C30" i="5" s="1"/>
  <c r="E27" i="5"/>
  <c r="E36" i="5" s="1"/>
  <c r="B27" i="5"/>
  <c r="C27" i="5" s="1"/>
  <c r="C26" i="5"/>
  <c r="F25" i="5"/>
  <c r="E25" i="5"/>
  <c r="C25" i="5"/>
  <c r="B25" i="5"/>
  <c r="E22" i="5"/>
  <c r="B22" i="5"/>
  <c r="H26" i="5" l="1"/>
  <c r="B36" i="5"/>
  <c r="C36" i="5" s="1"/>
  <c r="F27" i="5"/>
  <c r="E29" i="5"/>
  <c r="F29" i="5" s="1"/>
  <c r="B29" i="5"/>
  <c r="C29" i="5" s="1"/>
  <c r="E32" i="5"/>
  <c r="F32" i="5" s="1"/>
  <c r="F28" i="5"/>
  <c r="B32" i="5"/>
  <c r="C32" i="5" s="1"/>
  <c r="F36" i="5"/>
  <c r="H25" i="5"/>
  <c r="B33" i="5"/>
  <c r="C33" i="5" s="1"/>
  <c r="I25" i="5"/>
  <c r="F26" i="5"/>
  <c r="I26" i="5" s="1"/>
  <c r="C28" i="5"/>
  <c r="F31" i="5"/>
  <c r="E33" i="5"/>
  <c r="H36" i="5" l="1"/>
  <c r="H29" i="5"/>
  <c r="I32" i="5"/>
  <c r="E34" i="5"/>
  <c r="C34" i="5"/>
  <c r="I29" i="5"/>
  <c r="H32" i="5"/>
  <c r="I36" i="5"/>
  <c r="H33" i="5"/>
  <c r="F33" i="5"/>
  <c r="I33" i="5" s="1"/>
  <c r="B34" i="5"/>
  <c r="H34" i="5" l="1"/>
  <c r="H39" i="5" s="1"/>
  <c r="H41" i="5" s="1"/>
  <c r="F5" i="5" s="1"/>
  <c r="F34" i="5"/>
  <c r="I34" i="5" s="1"/>
  <c r="I39" i="5" s="1"/>
  <c r="I41" i="5" s="1"/>
  <c r="F8" i="5" s="1"/>
  <c r="F21" i="4" l="1"/>
  <c r="I21" i="4"/>
  <c r="F21" i="3"/>
  <c r="I21" i="3"/>
  <c r="J31" i="3"/>
  <c r="E20" i="4" l="1"/>
  <c r="E25" i="4"/>
  <c r="E27" i="4" s="1"/>
  <c r="E22" i="4"/>
  <c r="C5" i="4"/>
  <c r="J32" i="4"/>
  <c r="J31" i="4"/>
  <c r="B25" i="4"/>
  <c r="B27" i="4" s="1"/>
  <c r="C27" i="4" s="1"/>
  <c r="B22" i="4"/>
  <c r="C21" i="4"/>
  <c r="J21" i="4" s="1"/>
  <c r="C20" i="4"/>
  <c r="B20" i="4"/>
  <c r="E18" i="4"/>
  <c r="B18" i="4"/>
  <c r="E22" i="3"/>
  <c r="E24" i="3" s="1"/>
  <c r="E25" i="3"/>
  <c r="B25" i="3"/>
  <c r="B27" i="3" s="1"/>
  <c r="C27" i="3" s="1"/>
  <c r="B22" i="3"/>
  <c r="C21" i="3"/>
  <c r="J21" i="3" s="1"/>
  <c r="F20" i="3"/>
  <c r="E20" i="3"/>
  <c r="C20" i="3"/>
  <c r="B20" i="3"/>
  <c r="E18" i="3"/>
  <c r="B18" i="3"/>
  <c r="I27" i="4" l="1"/>
  <c r="I20" i="4"/>
  <c r="E24" i="4"/>
  <c r="F24" i="4" s="1"/>
  <c r="J24" i="4" s="1"/>
  <c r="F27" i="4"/>
  <c r="J27" i="4" s="1"/>
  <c r="C22" i="4"/>
  <c r="B24" i="4"/>
  <c r="C24" i="4" s="1"/>
  <c r="B28" i="4"/>
  <c r="F23" i="4"/>
  <c r="F26" i="4"/>
  <c r="J20" i="3"/>
  <c r="I20" i="3"/>
  <c r="F24" i="3"/>
  <c r="F25" i="3"/>
  <c r="E27" i="3"/>
  <c r="C22" i="3"/>
  <c r="B24" i="3"/>
  <c r="C24" i="3" s="1"/>
  <c r="B28" i="3"/>
  <c r="C28" i="3" s="1"/>
  <c r="C25" i="4"/>
  <c r="C28" i="4"/>
  <c r="E28" i="4"/>
  <c r="F22" i="3"/>
  <c r="E28" i="3"/>
  <c r="C25" i="3"/>
  <c r="F25" i="4"/>
  <c r="F22" i="4"/>
  <c r="F20" i="4"/>
  <c r="J20" i="4" s="1"/>
  <c r="I30" i="4" l="1"/>
  <c r="I33" i="4" s="1"/>
  <c r="I24" i="4"/>
  <c r="F28" i="4"/>
  <c r="I28" i="4"/>
  <c r="I30" i="3"/>
  <c r="I32" i="3" s="1"/>
  <c r="J24" i="3"/>
  <c r="F28" i="3"/>
  <c r="J28" i="3" s="1"/>
  <c r="I28" i="3"/>
  <c r="F27" i="3"/>
  <c r="I27" i="3"/>
  <c r="I24" i="3"/>
  <c r="J28" i="4" l="1"/>
  <c r="J30" i="4"/>
  <c r="J33" i="4" s="1"/>
  <c r="F8" i="4" s="1"/>
  <c r="J27" i="3"/>
  <c r="J30" i="3"/>
  <c r="J32" i="3" s="1"/>
  <c r="F5" i="4"/>
  <c r="F8" i="3" l="1"/>
  <c r="F5" i="3"/>
</calcChain>
</file>

<file path=xl/sharedStrings.xml><?xml version="1.0" encoding="utf-8"?>
<sst xmlns="http://schemas.openxmlformats.org/spreadsheetml/2006/main" count="181" uniqueCount="76">
  <si>
    <t>ALTAIR 2XP</t>
  </si>
  <si>
    <t>Quoted price</t>
  </si>
  <si>
    <t>Quantity</t>
  </si>
  <si>
    <t>Bump test frequency</t>
  </si>
  <si>
    <t>Calibration frequency</t>
  </si>
  <si>
    <t>Calibration gas cost per liter</t>
  </si>
  <si>
    <t>Regulator flow rate</t>
  </si>
  <si>
    <t>Bump test time</t>
  </si>
  <si>
    <t>Calibration time</t>
  </si>
  <si>
    <t>years</t>
  </si>
  <si>
    <t>seconds</t>
  </si>
  <si>
    <t>/month</t>
  </si>
  <si>
    <t>/liter</t>
  </si>
  <si>
    <t>liters/min</t>
  </si>
  <si>
    <t>minutes</t>
  </si>
  <si>
    <t>Time impact on idle worker</t>
  </si>
  <si>
    <t>Competitor</t>
  </si>
  <si>
    <t>Total savings with ALTAIR 2XP</t>
  </si>
  <si>
    <t>Bump test personnel hourly rate</t>
  </si>
  <si>
    <t>Idle worker hourly rate</t>
  </si>
  <si>
    <t>Product life</t>
  </si>
  <si>
    <t>Battery replacement frequency</t>
  </si>
  <si>
    <t>/year</t>
  </si>
  <si>
    <t>Purchase Price</t>
  </si>
  <si>
    <t>ALTAIR 2X</t>
  </si>
  <si>
    <t>Total savings with ALTAIR 2X</t>
  </si>
  <si>
    <t>Value of ALTAIR 2X 3-year warranty</t>
  </si>
  <si>
    <t>ALTAIR 2XT</t>
  </si>
  <si>
    <t>Value of ALTAIR 2XT 3-year warranty</t>
  </si>
  <si>
    <t>Total savings with ALTAIR 2XT</t>
  </si>
  <si>
    <t>Value of using 1 device vs. 2 devices</t>
  </si>
  <si>
    <t>DIRECT COSTS</t>
  </si>
  <si>
    <t>PRODUCTIVITY COSTS</t>
  </si>
  <si>
    <t>Per User</t>
  </si>
  <si>
    <r>
      <t>MSA ALTAIR</t>
    </r>
    <r>
      <rPr>
        <b/>
        <vertAlign val="superscript"/>
        <sz val="24"/>
        <color theme="0"/>
        <rFont val="Arial"/>
        <family val="2"/>
      </rPr>
      <t>®</t>
    </r>
    <r>
      <rPr>
        <b/>
        <sz val="24"/>
        <color theme="0"/>
        <rFont val="Arial"/>
        <family val="2"/>
      </rPr>
      <t xml:space="preserve"> 2XP: Cost of Ownership Calculator</t>
    </r>
  </si>
  <si>
    <t>PRODUCTIVITY SAVINGS</t>
  </si>
  <si>
    <t>DIRECT SAVINGS</t>
  </si>
  <si>
    <t>Test personnel cost</t>
  </si>
  <si>
    <t>Direct + Productivity Savings</t>
  </si>
  <si>
    <t>Battery replacement cost</t>
  </si>
  <si>
    <t>Fleet</t>
  </si>
  <si>
    <t>Savings with ALTAIR 2XP</t>
  </si>
  <si>
    <r>
      <t>MSA ALTAIR</t>
    </r>
    <r>
      <rPr>
        <b/>
        <vertAlign val="superscript"/>
        <sz val="24"/>
        <color theme="0"/>
        <rFont val="Arial"/>
        <family val="2"/>
      </rPr>
      <t>®</t>
    </r>
    <r>
      <rPr>
        <b/>
        <sz val="24"/>
        <color theme="0"/>
        <rFont val="Arial"/>
        <family val="2"/>
      </rPr>
      <t xml:space="preserve"> 2X: Cost of Ownership Calculator</t>
    </r>
  </si>
  <si>
    <t>units</t>
  </si>
  <si>
    <t>Savings with ALTAIR 2XT</t>
  </si>
  <si>
    <t>Savings with ALTAIR 2X</t>
  </si>
  <si>
    <r>
      <t>MSA ALTAIR</t>
    </r>
    <r>
      <rPr>
        <b/>
        <vertAlign val="superscript"/>
        <sz val="24"/>
        <color theme="0"/>
        <rFont val="Arial"/>
        <family val="2"/>
      </rPr>
      <t>®</t>
    </r>
    <r>
      <rPr>
        <b/>
        <sz val="24"/>
        <color theme="0"/>
        <rFont val="Arial"/>
        <family val="2"/>
      </rPr>
      <t xml:space="preserve"> 2XT: Cost of Ownership Calculator</t>
    </r>
  </si>
  <si>
    <t>Simplified calc</t>
  </si>
  <si>
    <t>Show</t>
  </si>
  <si>
    <t>Hide (4, 2)</t>
  </si>
  <si>
    <t>Hide (60, 60)</t>
  </si>
  <si>
    <t>Hide (5)</t>
  </si>
  <si>
    <t>Hide (1, 0)</t>
  </si>
  <si>
    <t>Hide (15, 30)</t>
  </si>
  <si>
    <t>Hide (20)</t>
  </si>
  <si>
    <t>Per user</t>
  </si>
  <si>
    <t>Value of ALTAIR 2XP 3-year warranty</t>
  </si>
  <si>
    <t>Pipitone</t>
  </si>
  <si>
    <t>Show, Show</t>
  </si>
  <si>
    <t>Hide (0.25), Show (0.5)</t>
  </si>
  <si>
    <t>Hide (2), Show (2)</t>
  </si>
  <si>
    <t>/hour</t>
  </si>
  <si>
    <t>Savings</t>
  </si>
  <si>
    <t>Total Costs</t>
  </si>
  <si>
    <t>Idle worker cost (bumps + calibrations)</t>
  </si>
  <si>
    <t>Cal gas cost per bump test</t>
  </si>
  <si>
    <t>Cal gas cost for all bump tests</t>
  </si>
  <si>
    <t># of Bump tests</t>
  </si>
  <si>
    <t># of Calibrations</t>
  </si>
  <si>
    <t>Cal gas cost per calibration</t>
  </si>
  <si>
    <t>Cal gas cost for all calibrations</t>
  </si>
  <si>
    <t>Total personnel cost</t>
  </si>
  <si>
    <t>Calculated savings</t>
  </si>
  <si>
    <t>/battery</t>
  </si>
  <si>
    <t>Battery price</t>
  </si>
  <si>
    <t>€/hour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</si>
</sst>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-* #,##0.00\ [$€-407]_-;\-* #,##0.00\ [$€-407]_-;_-* &quot;-&quot;??\ [$€-407]_-;_-@_-"/>
    <numFmt numFmtId="167" formatCode="_-* #,##0\ [$€-407]_-;\-* #,##0\ [$€-407]_-;_-* &quot;-&quot;??\ [$€-407]_-;_-@_-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Arial"/>
      <family val="2"/>
    </font>
    <font>
      <b/>
      <sz val="11"/>
      <color theme="0"/>
      <name val="Arial"/>
      <family val="2"/>
    </font>
    <font>
      <b/>
      <sz val="11"/>
      <color rgb="FF00B050"/>
      <name val="Arial"/>
      <family val="2"/>
    </font>
    <font>
      <b/>
      <u/>
      <sz val="11"/>
      <color theme="0"/>
      <name val="Arial"/>
      <family val="2"/>
    </font>
    <font>
      <b/>
      <sz val="16"/>
      <color theme="0"/>
      <name val="Arial"/>
      <family val="2"/>
    </font>
    <font>
      <sz val="11"/>
      <color theme="1"/>
      <name val="Arial"/>
      <family val="2"/>
    </font>
    <font>
      <b/>
      <sz val="24"/>
      <color theme="0"/>
      <name val="Arial"/>
      <family val="2"/>
    </font>
    <font>
      <b/>
      <vertAlign val="superscript"/>
      <sz val="24"/>
      <color theme="0"/>
      <name val="Arial"/>
      <family val="2"/>
    </font>
    <font>
      <b/>
      <sz val="14"/>
      <color rgb="FF00B050"/>
      <name val="Arial"/>
      <family val="2"/>
    </font>
    <font>
      <b/>
      <sz val="14"/>
      <color theme="0"/>
      <name val="Arial"/>
      <family val="2"/>
    </font>
    <font>
      <b/>
      <sz val="10"/>
      <color theme="0"/>
      <name val="Arial"/>
      <family val="2"/>
    </font>
    <font>
      <sz val="14"/>
      <color theme="1"/>
      <name val="Calibri"/>
      <family val="2"/>
      <scheme val="minor"/>
    </font>
    <font>
      <sz val="10"/>
      <color theme="0"/>
      <name val="Arial"/>
      <family val="2"/>
    </font>
    <font>
      <sz val="9"/>
      <color theme="0"/>
      <name val="Arial"/>
      <family val="2"/>
    </font>
    <font>
      <b/>
      <u/>
      <sz val="9"/>
      <color theme="0"/>
      <name val="Arial"/>
      <family val="2"/>
    </font>
    <font>
      <sz val="16"/>
      <color theme="1"/>
      <name val="Calibri"/>
      <family val="2"/>
      <scheme val="minor"/>
    </font>
    <font>
      <b/>
      <sz val="16"/>
      <color rgb="FF00B05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1" tint="0.3499862666707357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-0.249977111117893"/>
        <bgColor indexed="64"/>
      </patternFill>
    </fill>
  </fills>
  <borders count="14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mediumDashed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ck">
        <color theme="0"/>
      </top>
      <bottom style="double">
        <color theme="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double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74">
    <xf numFmtId="0" fontId="0" fillId="0" borderId="0" xfId="0"/>
    <xf numFmtId="0" fontId="2" fillId="2" borderId="0" xfId="0" applyFont="1" applyFill="1"/>
    <xf numFmtId="0" fontId="3" fillId="2" borderId="0" xfId="0" applyFont="1" applyFill="1"/>
    <xf numFmtId="0" fontId="7" fillId="2" borderId="0" xfId="0" applyFont="1" applyFill="1"/>
    <xf numFmtId="0" fontId="3" fillId="4" borderId="1" xfId="0" applyFont="1" applyFill="1" applyBorder="1" applyAlignment="1">
      <alignment horizontal="center"/>
    </xf>
    <xf numFmtId="0" fontId="7" fillId="2" borderId="4" xfId="0" applyFont="1" applyFill="1" applyBorder="1"/>
    <xf numFmtId="0" fontId="7" fillId="2" borderId="0" xfId="0" applyFont="1" applyFill="1" applyBorder="1"/>
    <xf numFmtId="0" fontId="3" fillId="2" borderId="5" xfId="0" applyFont="1" applyFill="1" applyBorder="1" applyAlignment="1">
      <alignment horizontal="center"/>
    </xf>
    <xf numFmtId="0" fontId="3" fillId="2" borderId="6" xfId="0" applyFont="1" applyFill="1" applyBorder="1" applyAlignment="1"/>
    <xf numFmtId="0" fontId="3" fillId="2" borderId="0" xfId="0" applyFont="1" applyFill="1" applyAlignment="1">
      <alignment horizontal="center"/>
    </xf>
    <xf numFmtId="0" fontId="6" fillId="2" borderId="0" xfId="0" applyFont="1" applyFill="1" applyAlignment="1">
      <alignment horizontal="left"/>
    </xf>
    <xf numFmtId="0" fontId="3" fillId="2" borderId="0" xfId="0" applyFont="1" applyFill="1" applyAlignment="1"/>
    <xf numFmtId="0" fontId="6" fillId="2" borderId="0" xfId="0" applyFont="1" applyFill="1" applyAlignment="1">
      <alignment horizontal="left"/>
    </xf>
    <xf numFmtId="0" fontId="14" fillId="2" borderId="0" xfId="0" applyFont="1" applyFill="1"/>
    <xf numFmtId="0" fontId="15" fillId="2" borderId="0" xfId="0" applyFont="1" applyFill="1"/>
    <xf numFmtId="0" fontId="15" fillId="2" borderId="0" xfId="0" quotePrefix="1" applyFont="1" applyFill="1"/>
    <xf numFmtId="0" fontId="14" fillId="2" borderId="0" xfId="0" applyFont="1" applyFill="1" applyBorder="1" applyAlignment="1">
      <alignment horizontal="left"/>
    </xf>
    <xf numFmtId="0" fontId="14" fillId="2" borderId="0" xfId="0" applyFont="1" applyFill="1" applyAlignment="1">
      <alignment horizontal="left"/>
    </xf>
    <xf numFmtId="0" fontId="12" fillId="2" borderId="0" xfId="0" applyFont="1" applyFill="1" applyAlignment="1">
      <alignment horizontal="left"/>
    </xf>
    <xf numFmtId="0" fontId="12" fillId="2" borderId="0" xfId="0" applyFont="1" applyFill="1"/>
    <xf numFmtId="0" fontId="14" fillId="2" borderId="0" xfId="0" applyFont="1" applyFill="1" applyAlignment="1"/>
    <xf numFmtId="0" fontId="15" fillId="2" borderId="0" xfId="0" applyFont="1" applyFill="1" applyAlignment="1">
      <alignment horizontal="center"/>
    </xf>
    <xf numFmtId="0" fontId="15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16" fillId="2" borderId="0" xfId="0" applyFont="1" applyFill="1" applyAlignment="1">
      <alignment horizontal="center"/>
    </xf>
    <xf numFmtId="0" fontId="12" fillId="2" borderId="0" xfId="0" applyFont="1" applyFill="1" applyBorder="1" applyAlignment="1"/>
    <xf numFmtId="0" fontId="3" fillId="2" borderId="0" xfId="0" applyFont="1" applyFill="1" applyBorder="1" applyAlignment="1">
      <alignment horizontal="center"/>
    </xf>
    <xf numFmtId="0" fontId="3" fillId="3" borderId="1" xfId="0" applyFont="1" applyFill="1" applyBorder="1" applyAlignment="1" applyProtection="1">
      <alignment horizontal="center"/>
      <protection locked="0"/>
    </xf>
    <xf numFmtId="0" fontId="3" fillId="3" borderId="2" xfId="0" applyFont="1" applyFill="1" applyBorder="1" applyAlignment="1" applyProtection="1">
      <alignment horizontal="center"/>
      <protection locked="0"/>
    </xf>
    <xf numFmtId="167" fontId="3" fillId="3" borderId="7" xfId="1" applyNumberFormat="1" applyFont="1" applyFill="1" applyBorder="1" applyAlignment="1" applyProtection="1">
      <alignment horizontal="center"/>
      <protection locked="0"/>
    </xf>
    <xf numFmtId="167" fontId="3" fillId="3" borderId="1" xfId="1" applyNumberFormat="1" applyFont="1" applyFill="1" applyBorder="1" applyAlignment="1">
      <alignment horizontal="center"/>
    </xf>
    <xf numFmtId="167" fontId="3" fillId="4" borderId="13" xfId="1" applyNumberFormat="1" applyFont="1" applyFill="1" applyBorder="1" applyAlignment="1"/>
    <xf numFmtId="167" fontId="3" fillId="4" borderId="7" xfId="1" applyNumberFormat="1" applyFont="1" applyFill="1" applyBorder="1"/>
    <xf numFmtId="167" fontId="3" fillId="4" borderId="1" xfId="1" applyNumberFormat="1" applyFont="1" applyFill="1" applyBorder="1" applyAlignment="1">
      <alignment horizontal="left"/>
    </xf>
    <xf numFmtId="167" fontId="3" fillId="4" borderId="1" xfId="1" applyNumberFormat="1" applyFont="1" applyFill="1" applyBorder="1"/>
    <xf numFmtId="167" fontId="3" fillId="4" borderId="2" xfId="2" applyNumberFormat="1" applyFont="1" applyFill="1" applyBorder="1" applyAlignment="1"/>
    <xf numFmtId="167" fontId="3" fillId="4" borderId="1" xfId="2" applyNumberFormat="1" applyFont="1" applyFill="1" applyBorder="1"/>
    <xf numFmtId="167" fontId="3" fillId="4" borderId="2" xfId="1" quotePrefix="1" applyNumberFormat="1" applyFont="1" applyFill="1" applyBorder="1" applyAlignment="1"/>
    <xf numFmtId="167" fontId="3" fillId="4" borderId="2" xfId="1" applyNumberFormat="1" applyFont="1" applyFill="1" applyBorder="1" applyAlignment="1"/>
    <xf numFmtId="167" fontId="4" fillId="4" borderId="9" xfId="1" applyNumberFormat="1" applyFont="1" applyFill="1" applyBorder="1" applyAlignment="1"/>
    <xf numFmtId="167" fontId="4" fillId="4" borderId="1" xfId="1" applyNumberFormat="1" applyFont="1" applyFill="1" applyBorder="1" applyAlignment="1"/>
    <xf numFmtId="167" fontId="3" fillId="4" borderId="1" xfId="1" quotePrefix="1" applyNumberFormat="1" applyFont="1" applyFill="1" applyBorder="1"/>
    <xf numFmtId="167" fontId="3" fillId="4" borderId="3" xfId="1" applyNumberFormat="1" applyFont="1" applyFill="1" applyBorder="1"/>
    <xf numFmtId="167" fontId="4" fillId="4" borderId="10" xfId="1" applyNumberFormat="1" applyFont="1" applyFill="1" applyBorder="1" applyAlignment="1"/>
    <xf numFmtId="167" fontId="4" fillId="4" borderId="13" xfId="1" applyNumberFormat="1" applyFont="1" applyFill="1" applyBorder="1" applyAlignment="1"/>
    <xf numFmtId="167" fontId="4" fillId="4" borderId="7" xfId="1" applyNumberFormat="1" applyFont="1" applyFill="1" applyBorder="1" applyAlignment="1"/>
    <xf numFmtId="167" fontId="4" fillId="4" borderId="2" xfId="1" applyNumberFormat="1" applyFont="1" applyFill="1" applyBorder="1" applyAlignment="1"/>
    <xf numFmtId="167" fontId="3" fillId="3" borderId="9" xfId="1" applyNumberFormat="1" applyFont="1" applyFill="1" applyBorder="1" applyAlignment="1" applyProtection="1">
      <protection locked="0"/>
    </xf>
    <xf numFmtId="167" fontId="3" fillId="4" borderId="10" xfId="1" applyNumberFormat="1" applyFont="1" applyFill="1" applyBorder="1"/>
    <xf numFmtId="167" fontId="4" fillId="4" borderId="11" xfId="0" applyNumberFormat="1" applyFont="1" applyFill="1" applyBorder="1" applyAlignment="1"/>
    <xf numFmtId="167" fontId="4" fillId="5" borderId="12" xfId="0" applyNumberFormat="1" applyFont="1" applyFill="1" applyBorder="1" applyAlignment="1">
      <alignment horizontal="right"/>
    </xf>
    <xf numFmtId="167" fontId="3" fillId="3" borderId="1" xfId="1" applyNumberFormat="1" applyFont="1" applyFill="1" applyBorder="1" applyAlignment="1" applyProtection="1">
      <alignment horizontal="center"/>
      <protection locked="0"/>
    </xf>
    <xf numFmtId="167" fontId="7" fillId="2" borderId="0" xfId="0" applyNumberFormat="1" applyFont="1" applyFill="1"/>
    <xf numFmtId="167" fontId="3" fillId="3" borderId="2" xfId="1" applyNumberFormat="1" applyFont="1" applyFill="1" applyBorder="1" applyAlignment="1" applyProtection="1">
      <protection locked="0"/>
    </xf>
    <xf numFmtId="167" fontId="4" fillId="4" borderId="2" xfId="0" applyNumberFormat="1" applyFont="1" applyFill="1" applyBorder="1" applyAlignment="1"/>
    <xf numFmtId="167" fontId="4" fillId="4" borderId="1" xfId="0" applyNumberFormat="1" applyFont="1" applyFill="1" applyBorder="1" applyAlignment="1"/>
    <xf numFmtId="2" fontId="3" fillId="4" borderId="1" xfId="0" applyNumberFormat="1" applyFont="1" applyFill="1" applyBorder="1" applyAlignment="1">
      <alignment horizontal="center"/>
    </xf>
    <xf numFmtId="167" fontId="3" fillId="3" borderId="2" xfId="1" applyNumberFormat="1" applyFont="1" applyFill="1" applyBorder="1" applyAlignment="1" applyProtection="1">
      <alignment horizontal="center"/>
      <protection locked="0"/>
    </xf>
    <xf numFmtId="167" fontId="3" fillId="3" borderId="3" xfId="1" applyNumberFormat="1" applyFont="1" applyFill="1" applyBorder="1" applyAlignment="1" applyProtection="1">
      <alignment horizontal="center"/>
      <protection locked="0"/>
    </xf>
    <xf numFmtId="0" fontId="3" fillId="7" borderId="2" xfId="0" applyFont="1" applyFill="1" applyBorder="1" applyAlignment="1">
      <alignment horizontal="left"/>
    </xf>
    <xf numFmtId="0" fontId="3" fillId="7" borderId="8" xfId="0" applyFont="1" applyFill="1" applyBorder="1" applyAlignment="1">
      <alignment horizontal="left"/>
    </xf>
    <xf numFmtId="0" fontId="3" fillId="7" borderId="3" xfId="0" applyFont="1" applyFill="1" applyBorder="1" applyAlignment="1">
      <alignment horizontal="left"/>
    </xf>
    <xf numFmtId="0" fontId="8" fillId="2" borderId="0" xfId="0" applyFont="1" applyFill="1" applyAlignment="1">
      <alignment horizontal="left"/>
    </xf>
    <xf numFmtId="0" fontId="3" fillId="3" borderId="2" xfId="0" applyFont="1" applyFill="1" applyBorder="1" applyAlignment="1" applyProtection="1">
      <alignment horizontal="center"/>
      <protection locked="0"/>
    </xf>
    <xf numFmtId="0" fontId="3" fillId="3" borderId="3" xfId="0" applyFont="1" applyFill="1" applyBorder="1" applyAlignment="1" applyProtection="1">
      <alignment horizontal="center"/>
      <protection locked="0"/>
    </xf>
    <xf numFmtId="166" fontId="3" fillId="3" borderId="2" xfId="1" applyNumberFormat="1" applyFont="1" applyFill="1" applyBorder="1" applyAlignment="1" applyProtection="1">
      <alignment horizontal="center"/>
      <protection locked="0"/>
    </xf>
    <xf numFmtId="166" fontId="3" fillId="3" borderId="3" xfId="1" applyNumberFormat="1" applyFont="1" applyFill="1" applyBorder="1" applyAlignment="1" applyProtection="1">
      <alignment horizontal="center"/>
      <protection locked="0"/>
    </xf>
    <xf numFmtId="0" fontId="11" fillId="7" borderId="2" xfId="0" applyFont="1" applyFill="1" applyBorder="1" applyAlignment="1">
      <alignment horizontal="center"/>
    </xf>
    <xf numFmtId="0" fontId="11" fillId="7" borderId="3" xfId="0" applyFont="1" applyFill="1" applyBorder="1" applyAlignment="1">
      <alignment horizontal="center"/>
    </xf>
    <xf numFmtId="167" fontId="18" fillId="5" borderId="1" xfId="1" applyNumberFormat="1" applyFont="1" applyFill="1" applyBorder="1" applyAlignment="1">
      <alignment horizontal="center" vertical="center"/>
    </xf>
    <xf numFmtId="0" fontId="17" fillId="6" borderId="1" xfId="0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/>
    </xf>
    <xf numFmtId="0" fontId="13" fillId="6" borderId="1" xfId="0" applyFont="1" applyFill="1" applyBorder="1" applyAlignment="1">
      <alignment horizontal="center" vertical="center"/>
    </xf>
    <xf numFmtId="167" fontId="10" fillId="5" borderId="1" xfId="1" applyNumberFormat="1" applyFont="1" applyFill="1" applyBorder="1" applyAlignment="1">
      <alignment horizontal="center" vertical="center"/>
    </xf>
  </cellXfs>
  <cellStyles count="3">
    <cellStyle name="Komma" xfId="2" builtinId="3"/>
    <cellStyle name="Standard" xfId="0" builtinId="0"/>
    <cellStyle name="Währung" xfId="1" builtinId="4"/>
  </cellStyles>
  <dxfs count="26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CC5C"/>
      <color rgb="FF00FE7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190500</xdr:colOff>
      <xdr:row>0</xdr:row>
      <xdr:rowOff>222250</xdr:rowOff>
    </xdr:from>
    <xdr:to>
      <xdr:col>8</xdr:col>
      <xdr:colOff>1100666</xdr:colOff>
      <xdr:row>17</xdr:row>
      <xdr:rowOff>129713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5833" y="222250"/>
          <a:ext cx="2159000" cy="3431713"/>
        </a:xfrm>
        <a:prstGeom prst="rect">
          <a:avLst/>
        </a:prstGeom>
        <a:ln w="63500" cap="sq">
          <a:solidFill>
            <a:schemeClr val="bg1"/>
          </a:solidFill>
          <a:beve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211667</xdr:colOff>
      <xdr:row>0</xdr:row>
      <xdr:rowOff>93791</xdr:rowOff>
    </xdr:from>
    <xdr:to>
      <xdr:col>9</xdr:col>
      <xdr:colOff>1026582</xdr:colOff>
      <xdr:row>15</xdr:row>
      <xdr:rowOff>93606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65" t="628" r="12108" b="4305"/>
        <a:stretch/>
      </xdr:blipFill>
      <xdr:spPr>
        <a:xfrm>
          <a:off x="9080500" y="93791"/>
          <a:ext cx="2063749" cy="31430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232833</xdr:colOff>
      <xdr:row>0</xdr:row>
      <xdr:rowOff>80579</xdr:rowOff>
    </xdr:from>
    <xdr:to>
      <xdr:col>9</xdr:col>
      <xdr:colOff>1026582</xdr:colOff>
      <xdr:row>15</xdr:row>
      <xdr:rowOff>57592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63" t="1860" r="13022" b="5489"/>
        <a:stretch/>
      </xdr:blipFill>
      <xdr:spPr>
        <a:xfrm>
          <a:off x="9101666" y="80579"/>
          <a:ext cx="2042583" cy="31202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9"/>
  <sheetViews>
    <sheetView tabSelected="1" zoomScale="90" zoomScaleNormal="90" workbookViewId="0">
      <selection activeCell="B19" sqref="B19:C19"/>
    </sheetView>
  </sheetViews>
  <sheetFormatPr baseColWidth="10" defaultColWidth="9.140625" defaultRowHeight="14.25" x14ac:dyDescent="0.2"/>
  <cols>
    <col min="1" max="1" width="35.28515625" style="3" bestFit="1" customWidth="1"/>
    <col min="2" max="3" width="18.7109375" style="3" customWidth="1"/>
    <col min="4" max="4" width="12.7109375" style="3" customWidth="1"/>
    <col min="5" max="6" width="18.7109375" style="3" customWidth="1"/>
    <col min="7" max="7" width="12.5703125" style="3" customWidth="1"/>
    <col min="8" max="9" width="18.7109375" style="3" customWidth="1"/>
    <col min="10" max="16384" width="9.140625" style="3"/>
  </cols>
  <sheetData>
    <row r="1" spans="1:6" ht="33.75" x14ac:dyDescent="0.4">
      <c r="A1" s="62" t="s">
        <v>34</v>
      </c>
      <c r="B1" s="62"/>
      <c r="C1" s="62"/>
      <c r="D1" s="62"/>
      <c r="E1" s="62"/>
      <c r="F1" s="62"/>
    </row>
    <row r="2" spans="1:6" ht="15" customHeight="1" x14ac:dyDescent="0.3">
      <c r="A2" s="12"/>
      <c r="B2" s="12"/>
      <c r="C2" s="12"/>
      <c r="D2" s="12"/>
      <c r="E2" s="12"/>
      <c r="F2" s="12"/>
    </row>
    <row r="3" spans="1:6" ht="15" x14ac:dyDescent="0.25">
      <c r="B3" s="9" t="s">
        <v>0</v>
      </c>
      <c r="C3" s="9" t="s">
        <v>16</v>
      </c>
      <c r="D3" s="2"/>
    </row>
    <row r="4" spans="1:6" ht="18" x14ac:dyDescent="0.25">
      <c r="A4" s="59" t="s">
        <v>31</v>
      </c>
      <c r="B4" s="60"/>
      <c r="C4" s="61"/>
      <c r="D4" s="2"/>
      <c r="E4" s="67" t="s">
        <v>41</v>
      </c>
      <c r="F4" s="68"/>
    </row>
    <row r="5" spans="1:6" ht="15" customHeight="1" x14ac:dyDescent="0.25">
      <c r="A5" s="16" t="s">
        <v>1</v>
      </c>
      <c r="B5" s="29">
        <v>280</v>
      </c>
      <c r="C5" s="29">
        <v>100</v>
      </c>
      <c r="D5" s="2"/>
      <c r="E5" s="70" t="s">
        <v>55</v>
      </c>
      <c r="F5" s="69">
        <f>H41</f>
        <v>4619</v>
      </c>
    </row>
    <row r="6" spans="1:6" ht="15" customHeight="1" x14ac:dyDescent="0.25">
      <c r="A6" s="16" t="s">
        <v>2</v>
      </c>
      <c r="B6" s="63">
        <v>100</v>
      </c>
      <c r="C6" s="64"/>
      <c r="D6" s="14" t="s">
        <v>43</v>
      </c>
      <c r="E6" s="70"/>
      <c r="F6" s="69"/>
    </row>
    <row r="7" spans="1:6" ht="15" customHeight="1" x14ac:dyDescent="0.25">
      <c r="A7" s="16" t="s">
        <v>20</v>
      </c>
      <c r="B7" s="4">
        <v>4</v>
      </c>
      <c r="C7" s="27">
        <v>2</v>
      </c>
      <c r="D7" s="14" t="s">
        <v>9</v>
      </c>
      <c r="E7" s="70"/>
      <c r="F7" s="69"/>
    </row>
    <row r="8" spans="1:6" ht="15" customHeight="1" x14ac:dyDescent="0.25">
      <c r="A8" s="16" t="s">
        <v>7</v>
      </c>
      <c r="B8" s="4">
        <v>0</v>
      </c>
      <c r="C8" s="27">
        <v>30</v>
      </c>
      <c r="D8" s="14" t="s">
        <v>10</v>
      </c>
      <c r="E8" s="70" t="s">
        <v>40</v>
      </c>
      <c r="F8" s="69">
        <f>I41</f>
        <v>471900</v>
      </c>
    </row>
    <row r="9" spans="1:6" ht="15" customHeight="1" x14ac:dyDescent="0.25">
      <c r="A9" s="16" t="s">
        <v>3</v>
      </c>
      <c r="B9" s="4">
        <v>20</v>
      </c>
      <c r="C9" s="27">
        <v>20</v>
      </c>
      <c r="D9" s="15" t="s">
        <v>11</v>
      </c>
      <c r="E9" s="70"/>
      <c r="F9" s="69"/>
    </row>
    <row r="10" spans="1:6" ht="15" customHeight="1" x14ac:dyDescent="0.25">
      <c r="A10" s="16" t="s">
        <v>8</v>
      </c>
      <c r="B10" s="4">
        <v>60</v>
      </c>
      <c r="C10" s="27">
        <v>120</v>
      </c>
      <c r="D10" s="14" t="s">
        <v>10</v>
      </c>
      <c r="E10" s="70"/>
      <c r="F10" s="69"/>
    </row>
    <row r="11" spans="1:6" ht="15" x14ac:dyDescent="0.25">
      <c r="A11" s="16" t="s">
        <v>4</v>
      </c>
      <c r="B11" s="4">
        <v>6</v>
      </c>
      <c r="C11" s="27">
        <v>1</v>
      </c>
      <c r="D11" s="15" t="s">
        <v>22</v>
      </c>
    </row>
    <row r="12" spans="1:6" ht="15" x14ac:dyDescent="0.25">
      <c r="A12" s="16" t="s">
        <v>5</v>
      </c>
      <c r="B12" s="65">
        <v>3</v>
      </c>
      <c r="C12" s="66"/>
      <c r="D12" s="15" t="s">
        <v>12</v>
      </c>
    </row>
    <row r="13" spans="1:6" ht="15" x14ac:dyDescent="0.25">
      <c r="A13" s="16" t="s">
        <v>6</v>
      </c>
      <c r="B13" s="4">
        <v>0.25</v>
      </c>
      <c r="C13" s="27">
        <v>0.5</v>
      </c>
      <c r="D13" s="14" t="s">
        <v>13</v>
      </c>
    </row>
    <row r="14" spans="1:6" ht="15" x14ac:dyDescent="0.25">
      <c r="A14" s="16" t="s">
        <v>18</v>
      </c>
      <c r="B14" s="57">
        <v>25</v>
      </c>
      <c r="C14" s="58"/>
      <c r="D14" s="15" t="s">
        <v>75</v>
      </c>
    </row>
    <row r="15" spans="1:6" ht="15" x14ac:dyDescent="0.25">
      <c r="A15" s="16" t="s">
        <v>21</v>
      </c>
      <c r="B15" s="27">
        <v>1</v>
      </c>
      <c r="C15" s="27">
        <v>0</v>
      </c>
      <c r="D15" s="14" t="s">
        <v>22</v>
      </c>
    </row>
    <row r="16" spans="1:6" ht="15" x14ac:dyDescent="0.25">
      <c r="A16" s="16" t="s">
        <v>74</v>
      </c>
      <c r="B16" s="51">
        <v>3</v>
      </c>
      <c r="C16" s="30">
        <v>0</v>
      </c>
      <c r="D16" s="14" t="s">
        <v>73</v>
      </c>
    </row>
    <row r="17" spans="1:9" ht="15" x14ac:dyDescent="0.25">
      <c r="A17" s="59" t="s">
        <v>32</v>
      </c>
      <c r="B17" s="60"/>
      <c r="C17" s="61"/>
      <c r="D17" s="14"/>
    </row>
    <row r="18" spans="1:9" ht="15" x14ac:dyDescent="0.25">
      <c r="A18" s="16" t="s">
        <v>15</v>
      </c>
      <c r="B18" s="4">
        <v>0</v>
      </c>
      <c r="C18" s="27">
        <v>10</v>
      </c>
      <c r="D18" s="14" t="s">
        <v>14</v>
      </c>
    </row>
    <row r="19" spans="1:9" ht="15" x14ac:dyDescent="0.25">
      <c r="A19" s="16" t="s">
        <v>19</v>
      </c>
      <c r="B19" s="57">
        <v>25</v>
      </c>
      <c r="C19" s="58"/>
      <c r="D19" s="15" t="s">
        <v>61</v>
      </c>
    </row>
    <row r="20" spans="1:9" ht="15" thickBot="1" x14ac:dyDescent="0.25"/>
    <row r="21" spans="1:9" s="5" customFormat="1" x14ac:dyDescent="0.2"/>
    <row r="22" spans="1:9" ht="15" x14ac:dyDescent="0.25">
      <c r="A22" s="2"/>
      <c r="B22" s="71" t="str">
        <f>B3</f>
        <v>ALTAIR 2XP</v>
      </c>
      <c r="C22" s="71"/>
      <c r="E22" s="71" t="str">
        <f>C3</f>
        <v>Competitor</v>
      </c>
      <c r="F22" s="71"/>
      <c r="H22" s="71" t="s">
        <v>62</v>
      </c>
      <c r="I22" s="71"/>
    </row>
    <row r="23" spans="1:9" ht="15" x14ac:dyDescent="0.25">
      <c r="A23" s="2"/>
      <c r="B23" s="26" t="s">
        <v>33</v>
      </c>
      <c r="C23" s="9" t="s">
        <v>40</v>
      </c>
      <c r="E23" s="9" t="s">
        <v>33</v>
      </c>
      <c r="F23" s="9" t="s">
        <v>40</v>
      </c>
      <c r="H23" s="9" t="s">
        <v>33</v>
      </c>
      <c r="I23" s="9" t="s">
        <v>40</v>
      </c>
    </row>
    <row r="24" spans="1:9" ht="15" x14ac:dyDescent="0.25">
      <c r="A24" s="59" t="s">
        <v>36</v>
      </c>
      <c r="B24" s="60"/>
      <c r="C24" s="60"/>
      <c r="D24" s="60"/>
      <c r="E24" s="60"/>
      <c r="F24" s="60"/>
      <c r="G24" s="60"/>
      <c r="H24" s="60"/>
      <c r="I24" s="61"/>
    </row>
    <row r="25" spans="1:9" ht="15" x14ac:dyDescent="0.25">
      <c r="A25" s="17" t="s">
        <v>1</v>
      </c>
      <c r="B25" s="31">
        <f>B5</f>
        <v>280</v>
      </c>
      <c r="C25" s="32">
        <f>B5*B6</f>
        <v>28000</v>
      </c>
      <c r="E25" s="32">
        <f>C5</f>
        <v>100</v>
      </c>
      <c r="F25" s="32">
        <f>B6*C5*(B7/C7)</f>
        <v>20000</v>
      </c>
      <c r="H25" s="32">
        <f>E25-B25</f>
        <v>-180</v>
      </c>
      <c r="I25" s="32">
        <f>F25-C25</f>
        <v>-8000</v>
      </c>
    </row>
    <row r="26" spans="1:9" ht="15" x14ac:dyDescent="0.25">
      <c r="A26" s="17" t="s">
        <v>39</v>
      </c>
      <c r="B26" s="33">
        <f>(B15*B7*B16)*((5/60)*B14)</f>
        <v>24.999999999999996</v>
      </c>
      <c r="C26" s="34">
        <f>B26*B6</f>
        <v>2499.9999999999995</v>
      </c>
      <c r="E26" s="34">
        <f>(C15*B7*C16)*((5/60)*B14)</f>
        <v>0</v>
      </c>
      <c r="F26" s="34">
        <f>E26*B6</f>
        <v>0</v>
      </c>
      <c r="H26" s="34">
        <f>E26-B26</f>
        <v>-24.999999999999996</v>
      </c>
      <c r="I26" s="34">
        <f>F26-C26</f>
        <v>-2499.9999999999995</v>
      </c>
    </row>
    <row r="27" spans="1:9" ht="15" x14ac:dyDescent="0.25">
      <c r="A27" s="17" t="s">
        <v>67</v>
      </c>
      <c r="B27" s="35">
        <f>12*B7*B9</f>
        <v>960</v>
      </c>
      <c r="C27" s="36">
        <f t="shared" ref="C27:C33" si="0">B27*B$6</f>
        <v>96000</v>
      </c>
      <c r="E27" s="36">
        <f>12*C9*B7</f>
        <v>960</v>
      </c>
      <c r="F27" s="36">
        <f>E27*B6</f>
        <v>96000</v>
      </c>
      <c r="H27" s="36"/>
      <c r="I27" s="36"/>
    </row>
    <row r="28" spans="1:9" ht="15" x14ac:dyDescent="0.25">
      <c r="A28" s="17" t="s">
        <v>65</v>
      </c>
      <c r="B28" s="37">
        <f>(B8/60)*B13*B12</f>
        <v>0</v>
      </c>
      <c r="C28" s="34">
        <f t="shared" si="0"/>
        <v>0</v>
      </c>
      <c r="E28" s="37">
        <f>(C8/60)*C13*B12</f>
        <v>0.75</v>
      </c>
      <c r="F28" s="34">
        <f>E28*B$6</f>
        <v>75</v>
      </c>
      <c r="H28" s="34"/>
      <c r="I28" s="34"/>
    </row>
    <row r="29" spans="1:9" ht="15" x14ac:dyDescent="0.25">
      <c r="A29" s="17" t="s">
        <v>66</v>
      </c>
      <c r="B29" s="37">
        <f>B28*B27</f>
        <v>0</v>
      </c>
      <c r="C29" s="34">
        <f t="shared" si="0"/>
        <v>0</v>
      </c>
      <c r="E29" s="37">
        <f>E28*E27</f>
        <v>720</v>
      </c>
      <c r="F29" s="34">
        <f>E29*B$6</f>
        <v>72000</v>
      </c>
      <c r="H29" s="34">
        <f>E29-B29</f>
        <v>720</v>
      </c>
      <c r="I29" s="34">
        <f>F29-C29</f>
        <v>72000</v>
      </c>
    </row>
    <row r="30" spans="1:9" ht="15" x14ac:dyDescent="0.25">
      <c r="A30" s="17" t="s">
        <v>68</v>
      </c>
      <c r="B30" s="35">
        <f>B11*B7</f>
        <v>24</v>
      </c>
      <c r="C30" s="36">
        <f t="shared" si="0"/>
        <v>2400</v>
      </c>
      <c r="E30" s="36">
        <f>C11*B7</f>
        <v>4</v>
      </c>
      <c r="F30" s="36">
        <f>E30*B$6</f>
        <v>400</v>
      </c>
      <c r="H30" s="36"/>
      <c r="I30" s="36"/>
    </row>
    <row r="31" spans="1:9" ht="15" x14ac:dyDescent="0.25">
      <c r="A31" s="17" t="s">
        <v>69</v>
      </c>
      <c r="B31" s="37">
        <f>(B10/60)*B13*B12</f>
        <v>0.75</v>
      </c>
      <c r="C31" s="34">
        <f t="shared" si="0"/>
        <v>75</v>
      </c>
      <c r="E31" s="37">
        <f>(C10/60)*C13*B12</f>
        <v>3</v>
      </c>
      <c r="F31" s="34">
        <f>E31*B$6</f>
        <v>300</v>
      </c>
      <c r="H31" s="34"/>
      <c r="I31" s="34"/>
    </row>
    <row r="32" spans="1:9" ht="15" x14ac:dyDescent="0.25">
      <c r="A32" s="17" t="s">
        <v>70</v>
      </c>
      <c r="B32" s="37">
        <f>B31*B30</f>
        <v>18</v>
      </c>
      <c r="C32" s="34">
        <f t="shared" si="0"/>
        <v>1800</v>
      </c>
      <c r="E32" s="37">
        <f>E31*E30</f>
        <v>12</v>
      </c>
      <c r="F32" s="34">
        <f>B6*E32</f>
        <v>1200</v>
      </c>
      <c r="H32" s="34">
        <f t="shared" ref="H32:I34" si="1">E32-B32</f>
        <v>-6</v>
      </c>
      <c r="I32" s="34">
        <f t="shared" si="1"/>
        <v>-600</v>
      </c>
    </row>
    <row r="33" spans="1:9" ht="15" x14ac:dyDescent="0.25">
      <c r="A33" s="17" t="s">
        <v>37</v>
      </c>
      <c r="B33" s="38">
        <f>B8/3600*B14*B27+(B10/3600*B14)*B30</f>
        <v>10</v>
      </c>
      <c r="C33" s="34">
        <f t="shared" si="0"/>
        <v>1000</v>
      </c>
      <c r="E33" s="41">
        <f>C8/3600*B14*E27+C10/3600*B14*E30</f>
        <v>203.33333333333334</v>
      </c>
      <c r="F33" s="42">
        <f>E33*B6</f>
        <v>20333.333333333336</v>
      </c>
      <c r="H33" s="34">
        <f t="shared" si="1"/>
        <v>193.33333333333334</v>
      </c>
      <c r="I33" s="34">
        <f t="shared" si="1"/>
        <v>19333.333333333336</v>
      </c>
    </row>
    <row r="34" spans="1:9" ht="15" x14ac:dyDescent="0.25">
      <c r="A34" s="25" t="s">
        <v>63</v>
      </c>
      <c r="B34" s="39">
        <f>B25+B26+B29+B32+B33</f>
        <v>333</v>
      </c>
      <c r="C34" s="40">
        <f>C25+C26+C29+C32+C33</f>
        <v>33300</v>
      </c>
      <c r="D34" s="6"/>
      <c r="E34" s="39">
        <f>E25+E26+E29+E32+E33</f>
        <v>1035.3333333333333</v>
      </c>
      <c r="F34" s="40">
        <f>F25+F26+F29+F32+F33</f>
        <v>113533.33333333334</v>
      </c>
      <c r="G34" s="6"/>
      <c r="H34" s="39">
        <f t="shared" si="1"/>
        <v>702.33333333333326</v>
      </c>
      <c r="I34" s="43">
        <f t="shared" si="1"/>
        <v>80233.333333333343</v>
      </c>
    </row>
    <row r="35" spans="1:9" ht="15" x14ac:dyDescent="0.25">
      <c r="A35" s="59" t="s">
        <v>35</v>
      </c>
      <c r="B35" s="60"/>
      <c r="C35" s="60"/>
      <c r="D35" s="60"/>
      <c r="E35" s="60"/>
      <c r="F35" s="60"/>
      <c r="G35" s="60"/>
      <c r="H35" s="60"/>
      <c r="I35" s="61"/>
    </row>
    <row r="36" spans="1:9" ht="15" x14ac:dyDescent="0.25">
      <c r="A36" s="16" t="s">
        <v>64</v>
      </c>
      <c r="B36" s="31">
        <f>(C18/60*B19)*(B30)</f>
        <v>99.999999999999986</v>
      </c>
      <c r="C36" s="32">
        <f>B36*B6</f>
        <v>9999.9999999999982</v>
      </c>
      <c r="D36" s="6"/>
      <c r="E36" s="31">
        <f>C18*B19/60*(E27+E30)</f>
        <v>4016.666666666667</v>
      </c>
      <c r="F36" s="32">
        <f>E36*B6</f>
        <v>401666.66666666669</v>
      </c>
      <c r="G36" s="6"/>
      <c r="H36" s="44">
        <f>E36-B36</f>
        <v>3916.666666666667</v>
      </c>
      <c r="I36" s="45">
        <f>F36-C36</f>
        <v>391666.66666666669</v>
      </c>
    </row>
    <row r="37" spans="1:9" x14ac:dyDescent="0.2">
      <c r="A37" s="18"/>
      <c r="F37" s="6"/>
    </row>
    <row r="38" spans="1:9" ht="15" x14ac:dyDescent="0.25">
      <c r="A38" s="19"/>
      <c r="B38" s="2"/>
      <c r="C38" s="2"/>
      <c r="D38" s="2"/>
      <c r="E38" s="2"/>
      <c r="F38" s="6"/>
    </row>
    <row r="39" spans="1:9" ht="15" x14ac:dyDescent="0.25">
      <c r="D39" s="11"/>
      <c r="E39" s="11" t="s">
        <v>38</v>
      </c>
      <c r="F39" s="6"/>
      <c r="H39" s="46">
        <f>H34+H36</f>
        <v>4619</v>
      </c>
      <c r="I39" s="40">
        <f>I34+I36</f>
        <v>471900</v>
      </c>
    </row>
    <row r="40" spans="1:9" ht="15.75" thickBot="1" x14ac:dyDescent="0.3">
      <c r="D40" s="11"/>
      <c r="E40" s="20" t="s">
        <v>56</v>
      </c>
      <c r="F40" s="6"/>
      <c r="H40" s="47">
        <v>0</v>
      </c>
      <c r="I40" s="48">
        <f>IF(H40="","",H40*B6*B7/C7)</f>
        <v>0</v>
      </c>
    </row>
    <row r="41" spans="1:9" ht="16.5" thickTop="1" thickBot="1" x14ac:dyDescent="0.3">
      <c r="D41" s="11"/>
      <c r="E41" s="11" t="s">
        <v>17</v>
      </c>
      <c r="F41" s="6"/>
      <c r="H41" s="49">
        <f>H39+H40</f>
        <v>4619</v>
      </c>
      <c r="I41" s="50">
        <f>I39+H40*B6*B7/C7</f>
        <v>471900</v>
      </c>
    </row>
    <row r="42" spans="1:9" ht="15.75" thickTop="1" x14ac:dyDescent="0.25">
      <c r="A42" s="2"/>
      <c r="B42" s="2"/>
      <c r="C42" s="2"/>
      <c r="D42" s="2"/>
      <c r="E42" s="2"/>
      <c r="F42" s="2"/>
    </row>
    <row r="43" spans="1:9" x14ac:dyDescent="0.2">
      <c r="A43" s="13"/>
      <c r="B43" s="1"/>
      <c r="C43" s="1"/>
      <c r="D43" s="1"/>
      <c r="E43" s="1"/>
      <c r="F43" s="1"/>
    </row>
    <row r="44" spans="1:9" x14ac:dyDescent="0.2">
      <c r="A44" s="13"/>
      <c r="B44" s="1"/>
      <c r="C44" s="1"/>
      <c r="D44" s="1"/>
      <c r="E44" s="1"/>
      <c r="F44" s="1"/>
    </row>
    <row r="45" spans="1:9" x14ac:dyDescent="0.2">
      <c r="A45" s="13"/>
    </row>
    <row r="46" spans="1:9" x14ac:dyDescent="0.2">
      <c r="A46" s="13"/>
    </row>
    <row r="47" spans="1:9" x14ac:dyDescent="0.2">
      <c r="A47" s="13"/>
    </row>
    <row r="48" spans="1:9" x14ac:dyDescent="0.2">
      <c r="A48" s="13"/>
    </row>
    <row r="49" spans="1:1" x14ac:dyDescent="0.2">
      <c r="A49" s="13"/>
    </row>
  </sheetData>
  <sheetProtection password="EF16" sheet="1" objects="1" scenarios="1" formatCells="0" selectLockedCells="1"/>
  <mergeCells count="17">
    <mergeCell ref="A24:I24"/>
    <mergeCell ref="A35:I35"/>
    <mergeCell ref="B22:C22"/>
    <mergeCell ref="E22:F22"/>
    <mergeCell ref="H22:I22"/>
    <mergeCell ref="B19:C19"/>
    <mergeCell ref="A17:C17"/>
    <mergeCell ref="A1:F1"/>
    <mergeCell ref="A4:C4"/>
    <mergeCell ref="B6:C6"/>
    <mergeCell ref="B12:C12"/>
    <mergeCell ref="B14:C14"/>
    <mergeCell ref="E4:F4"/>
    <mergeCell ref="F8:F10"/>
    <mergeCell ref="E5:E7"/>
    <mergeCell ref="F5:F7"/>
    <mergeCell ref="E8:E10"/>
  </mergeCells>
  <conditionalFormatting sqref="F5 F8">
    <cfRule type="cellIs" dxfId="25" priority="27" operator="lessThan">
      <formula>0</formula>
    </cfRule>
    <cfRule type="cellIs" dxfId="24" priority="28" operator="greaterThan">
      <formula>0</formula>
    </cfRule>
  </conditionalFormatting>
  <conditionalFormatting sqref="H34:I34">
    <cfRule type="cellIs" dxfId="23" priority="1" operator="lessThan">
      <formula>0</formula>
    </cfRule>
    <cfRule type="cellIs" dxfId="22" priority="2" operator="greaterThan">
      <formula>0</formula>
    </cfRule>
  </conditionalFormatting>
  <conditionalFormatting sqref="H41:I41 H39:I39">
    <cfRule type="cellIs" dxfId="21" priority="15" operator="lessThan">
      <formula>0</formula>
    </cfRule>
    <cfRule type="cellIs" dxfId="20" priority="16" operator="greaterThan">
      <formula>0</formula>
    </cfRule>
  </conditionalFormatting>
  <conditionalFormatting sqref="B34">
    <cfRule type="cellIs" dxfId="19" priority="13" operator="lessThan">
      <formula>0</formula>
    </cfRule>
    <cfRule type="cellIs" dxfId="18" priority="14" operator="greaterThan">
      <formula>0</formula>
    </cfRule>
  </conditionalFormatting>
  <conditionalFormatting sqref="C34">
    <cfRule type="cellIs" dxfId="17" priority="7" operator="lessThan">
      <formula>0</formula>
    </cfRule>
    <cfRule type="cellIs" dxfId="16" priority="8" operator="greaterThan">
      <formula>0</formula>
    </cfRule>
  </conditionalFormatting>
  <conditionalFormatting sqref="H36">
    <cfRule type="cellIs" dxfId="15" priority="11" operator="lessThan">
      <formula>0</formula>
    </cfRule>
    <cfRule type="cellIs" dxfId="14" priority="12" operator="greaterThan">
      <formula>0</formula>
    </cfRule>
  </conditionalFormatting>
  <conditionalFormatting sqref="I36">
    <cfRule type="cellIs" dxfId="13" priority="9" operator="lessThan">
      <formula>0</formula>
    </cfRule>
    <cfRule type="cellIs" dxfId="12" priority="10" operator="greaterThan">
      <formula>0</formula>
    </cfRule>
  </conditionalFormatting>
  <conditionalFormatting sqref="E34">
    <cfRule type="cellIs" dxfId="11" priority="5" operator="lessThan">
      <formula>0</formula>
    </cfRule>
    <cfRule type="cellIs" dxfId="10" priority="6" operator="greaterThan">
      <formula>0</formula>
    </cfRule>
  </conditionalFormatting>
  <conditionalFormatting sqref="F34">
    <cfRule type="cellIs" dxfId="9" priority="3" operator="lessThan">
      <formula>0</formula>
    </cfRule>
    <cfRule type="cellIs" dxfId="8" priority="4" operator="greater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zoomScale="90" zoomScaleNormal="90" workbookViewId="0">
      <selection activeCell="B4" sqref="B4"/>
    </sheetView>
  </sheetViews>
  <sheetFormatPr baseColWidth="10" defaultColWidth="9.140625" defaultRowHeight="14.25" x14ac:dyDescent="0.2"/>
  <cols>
    <col min="1" max="1" width="32.7109375" style="3" customWidth="1"/>
    <col min="2" max="3" width="18.7109375" style="3" customWidth="1"/>
    <col min="4" max="4" width="12.7109375" style="3" customWidth="1"/>
    <col min="5" max="6" width="18.7109375" style="3" customWidth="1"/>
    <col min="7" max="7" width="19.28515625" style="3" hidden="1" customWidth="1"/>
    <col min="8" max="8" width="12.7109375" style="3" customWidth="1"/>
    <col min="9" max="10" width="18.7109375" style="3" customWidth="1"/>
    <col min="11" max="16384" width="9.140625" style="3"/>
  </cols>
  <sheetData>
    <row r="1" spans="1:7" ht="33.75" x14ac:dyDescent="0.4">
      <c r="A1" s="62" t="s">
        <v>46</v>
      </c>
      <c r="B1" s="62"/>
      <c r="C1" s="62"/>
      <c r="D1" s="62"/>
      <c r="E1" s="62"/>
      <c r="F1" s="62"/>
      <c r="G1" s="62"/>
    </row>
    <row r="2" spans="1:7" ht="15" customHeight="1" x14ac:dyDescent="0.3">
      <c r="A2" s="10"/>
      <c r="B2" s="10"/>
      <c r="C2" s="10"/>
      <c r="D2" s="10"/>
      <c r="E2" s="10"/>
      <c r="F2" s="10"/>
      <c r="G2" s="9" t="s">
        <v>57</v>
      </c>
    </row>
    <row r="3" spans="1:7" ht="15" x14ac:dyDescent="0.25">
      <c r="B3" s="9" t="s">
        <v>27</v>
      </c>
      <c r="C3" s="9" t="s">
        <v>16</v>
      </c>
      <c r="D3" s="2"/>
      <c r="G3" s="24" t="s">
        <v>47</v>
      </c>
    </row>
    <row r="4" spans="1:7" ht="18" x14ac:dyDescent="0.25">
      <c r="A4" s="16" t="s">
        <v>1</v>
      </c>
      <c r="B4" s="51">
        <v>380</v>
      </c>
      <c r="C4" s="51">
        <v>100</v>
      </c>
      <c r="D4" s="2"/>
      <c r="E4" s="67" t="s">
        <v>44</v>
      </c>
      <c r="F4" s="68"/>
      <c r="G4" s="21" t="s">
        <v>58</v>
      </c>
    </row>
    <row r="5" spans="1:7" ht="15" x14ac:dyDescent="0.25">
      <c r="A5" s="16" t="s">
        <v>2</v>
      </c>
      <c r="B5" s="28">
        <v>100</v>
      </c>
      <c r="C5" s="4">
        <f>B5*2</f>
        <v>200</v>
      </c>
      <c r="D5" s="14" t="s">
        <v>43</v>
      </c>
      <c r="E5" s="72" t="s">
        <v>55</v>
      </c>
      <c r="F5" s="73">
        <f>I33</f>
        <v>1376.333333333333</v>
      </c>
      <c r="G5" s="21" t="s">
        <v>58</v>
      </c>
    </row>
    <row r="6" spans="1:7" ht="15" x14ac:dyDescent="0.25">
      <c r="A6" s="16" t="s">
        <v>20</v>
      </c>
      <c r="B6" s="4">
        <v>4</v>
      </c>
      <c r="C6" s="27">
        <v>2</v>
      </c>
      <c r="D6" s="14" t="s">
        <v>9</v>
      </c>
      <c r="E6" s="72"/>
      <c r="F6" s="73"/>
      <c r="G6" s="22" t="s">
        <v>49</v>
      </c>
    </row>
    <row r="7" spans="1:7" ht="15" x14ac:dyDescent="0.25">
      <c r="A7" s="16" t="s">
        <v>7</v>
      </c>
      <c r="B7" s="4">
        <v>15</v>
      </c>
      <c r="C7" s="27">
        <v>30</v>
      </c>
      <c r="D7" s="14" t="s">
        <v>10</v>
      </c>
      <c r="E7" s="72"/>
      <c r="F7" s="73"/>
      <c r="G7" s="22" t="s">
        <v>53</v>
      </c>
    </row>
    <row r="8" spans="1:7" ht="15" x14ac:dyDescent="0.25">
      <c r="A8" s="16" t="s">
        <v>3</v>
      </c>
      <c r="B8" s="63">
        <v>20</v>
      </c>
      <c r="C8" s="64"/>
      <c r="D8" s="15" t="s">
        <v>11</v>
      </c>
      <c r="E8" s="72" t="s">
        <v>40</v>
      </c>
      <c r="F8" s="73">
        <f>J33</f>
        <v>157633.33333333337</v>
      </c>
      <c r="G8" s="22" t="s">
        <v>54</v>
      </c>
    </row>
    <row r="9" spans="1:7" ht="15" x14ac:dyDescent="0.25">
      <c r="A9" s="16" t="s">
        <v>8</v>
      </c>
      <c r="B9" s="4">
        <v>60</v>
      </c>
      <c r="C9" s="27">
        <v>120</v>
      </c>
      <c r="D9" s="14" t="s">
        <v>10</v>
      </c>
      <c r="E9" s="72"/>
      <c r="F9" s="73"/>
      <c r="G9" s="22" t="s">
        <v>50</v>
      </c>
    </row>
    <row r="10" spans="1:7" ht="15" x14ac:dyDescent="0.25">
      <c r="A10" s="16" t="s">
        <v>4</v>
      </c>
      <c r="B10" s="27">
        <v>2</v>
      </c>
      <c r="C10" s="27">
        <v>1</v>
      </c>
      <c r="D10" s="15" t="s">
        <v>22</v>
      </c>
      <c r="E10" s="72"/>
      <c r="F10" s="73"/>
      <c r="G10" s="22" t="s">
        <v>60</v>
      </c>
    </row>
    <row r="11" spans="1:7" ht="15" x14ac:dyDescent="0.25">
      <c r="A11" s="16" t="s">
        <v>5</v>
      </c>
      <c r="B11" s="65">
        <v>3</v>
      </c>
      <c r="C11" s="66"/>
      <c r="D11" s="15" t="s">
        <v>12</v>
      </c>
      <c r="G11" s="22" t="s">
        <v>51</v>
      </c>
    </row>
    <row r="12" spans="1:7" ht="15" x14ac:dyDescent="0.25">
      <c r="A12" s="16" t="s">
        <v>6</v>
      </c>
      <c r="B12" s="56">
        <v>0.25</v>
      </c>
      <c r="C12" s="27">
        <v>0.5</v>
      </c>
      <c r="D12" s="14" t="s">
        <v>13</v>
      </c>
      <c r="G12" s="22" t="s">
        <v>59</v>
      </c>
    </row>
    <row r="13" spans="1:7" ht="15" x14ac:dyDescent="0.25">
      <c r="A13" s="16" t="s">
        <v>18</v>
      </c>
      <c r="B13" s="57">
        <v>25</v>
      </c>
      <c r="C13" s="58"/>
      <c r="D13" s="15" t="s">
        <v>75</v>
      </c>
      <c r="G13" s="22" t="s">
        <v>48</v>
      </c>
    </row>
    <row r="14" spans="1:7" ht="15" x14ac:dyDescent="0.25">
      <c r="A14" s="16" t="s">
        <v>21</v>
      </c>
      <c r="B14" s="27">
        <v>1</v>
      </c>
      <c r="C14" s="27">
        <v>0</v>
      </c>
      <c r="D14" s="14" t="s">
        <v>22</v>
      </c>
      <c r="G14" s="21" t="s">
        <v>52</v>
      </c>
    </row>
    <row r="15" spans="1:7" ht="15" x14ac:dyDescent="0.25">
      <c r="A15" s="16" t="s">
        <v>74</v>
      </c>
      <c r="B15" s="30">
        <v>3</v>
      </c>
      <c r="C15" s="30">
        <v>0</v>
      </c>
      <c r="D15" s="14" t="s">
        <v>73</v>
      </c>
    </row>
    <row r="16" spans="1:7" ht="15" thickBot="1" x14ac:dyDescent="0.25"/>
    <row r="17" spans="1:10" s="5" customFormat="1" x14ac:dyDescent="0.2"/>
    <row r="18" spans="1:10" ht="15" x14ac:dyDescent="0.25">
      <c r="A18" s="2"/>
      <c r="B18" s="71" t="str">
        <f>B3</f>
        <v>ALTAIR 2XT</v>
      </c>
      <c r="C18" s="71"/>
      <c r="E18" s="71" t="str">
        <f>C3</f>
        <v>Competitor</v>
      </c>
      <c r="F18" s="71"/>
      <c r="I18" s="71" t="s">
        <v>62</v>
      </c>
      <c r="J18" s="71"/>
    </row>
    <row r="19" spans="1:10" ht="15" x14ac:dyDescent="0.25">
      <c r="A19" s="2"/>
      <c r="B19" s="7" t="s">
        <v>33</v>
      </c>
      <c r="C19" s="9" t="s">
        <v>40</v>
      </c>
      <c r="E19" s="9" t="s">
        <v>33</v>
      </c>
      <c r="F19" s="9" t="s">
        <v>40</v>
      </c>
      <c r="I19" s="9" t="s">
        <v>33</v>
      </c>
      <c r="J19" s="9" t="s">
        <v>40</v>
      </c>
    </row>
    <row r="20" spans="1:10" ht="15" x14ac:dyDescent="0.25">
      <c r="A20" s="17" t="s">
        <v>23</v>
      </c>
      <c r="B20" s="38">
        <f>B4</f>
        <v>380</v>
      </c>
      <c r="C20" s="34">
        <f>B4*B5</f>
        <v>38000</v>
      </c>
      <c r="E20" s="34">
        <f>C4*2</f>
        <v>200</v>
      </c>
      <c r="F20" s="34">
        <f>C5*C4*(B6/C6)</f>
        <v>40000</v>
      </c>
      <c r="I20" s="34">
        <f>E20-B20</f>
        <v>-180</v>
      </c>
      <c r="J20" s="34">
        <f>F20-C20</f>
        <v>2000</v>
      </c>
    </row>
    <row r="21" spans="1:10" ht="15" x14ac:dyDescent="0.25">
      <c r="A21" s="17" t="s">
        <v>39</v>
      </c>
      <c r="B21" s="33">
        <f>(B14*B6*B15)*((5/60)*B13)</f>
        <v>24.999999999999996</v>
      </c>
      <c r="C21" s="34">
        <f>B21*B5</f>
        <v>2499.9999999999995</v>
      </c>
      <c r="E21" s="34">
        <f>C14*B13*C15*2</f>
        <v>0</v>
      </c>
      <c r="F21" s="34">
        <f>E21*B5</f>
        <v>0</v>
      </c>
      <c r="I21" s="34">
        <f>E21-B21</f>
        <v>-24.999999999999996</v>
      </c>
      <c r="J21" s="34">
        <f>F21-C21</f>
        <v>-2499.9999999999995</v>
      </c>
    </row>
    <row r="22" spans="1:10" ht="15" x14ac:dyDescent="0.25">
      <c r="A22" s="17" t="s">
        <v>67</v>
      </c>
      <c r="B22" s="35">
        <f>12*B6*B8</f>
        <v>960</v>
      </c>
      <c r="C22" s="36">
        <f>B22*B5</f>
        <v>96000</v>
      </c>
      <c r="E22" s="34">
        <f>12*B8*B6*2</f>
        <v>1920</v>
      </c>
      <c r="F22" s="34">
        <f>E22*(C5/2)</f>
        <v>192000</v>
      </c>
      <c r="I22" s="36"/>
      <c r="J22" s="36"/>
    </row>
    <row r="23" spans="1:10" ht="15" x14ac:dyDescent="0.25">
      <c r="A23" s="17" t="s">
        <v>65</v>
      </c>
      <c r="B23" s="38">
        <f>B7/60*B11*B12</f>
        <v>0.1875</v>
      </c>
      <c r="C23" s="34">
        <f>B23*B$5</f>
        <v>18.75</v>
      </c>
      <c r="E23" s="34">
        <f>C7/60*B11*C12</f>
        <v>0.75</v>
      </c>
      <c r="F23" s="34">
        <f>E23*(C5/2)</f>
        <v>75</v>
      </c>
      <c r="I23" s="34"/>
      <c r="J23" s="34"/>
    </row>
    <row r="24" spans="1:10" ht="15" x14ac:dyDescent="0.25">
      <c r="A24" s="17" t="s">
        <v>66</v>
      </c>
      <c r="B24" s="38">
        <f>B22*B23</f>
        <v>180</v>
      </c>
      <c r="C24" s="34">
        <f>B24*B$5</f>
        <v>18000</v>
      </c>
      <c r="E24" s="34">
        <f>E22*E23</f>
        <v>1440</v>
      </c>
      <c r="F24" s="34">
        <f>E24*(C5/2)</f>
        <v>144000</v>
      </c>
      <c r="I24" s="34">
        <f>E24-B24</f>
        <v>1260</v>
      </c>
      <c r="J24" s="34">
        <f>F24-C24</f>
        <v>126000</v>
      </c>
    </row>
    <row r="25" spans="1:10" ht="15" x14ac:dyDescent="0.25">
      <c r="A25" s="17" t="s">
        <v>68</v>
      </c>
      <c r="B25" s="35">
        <f>B10*B6</f>
        <v>8</v>
      </c>
      <c r="C25" s="36">
        <f>B25*B5</f>
        <v>800</v>
      </c>
      <c r="E25" s="34">
        <f>C10*B6*2</f>
        <v>8</v>
      </c>
      <c r="F25" s="36">
        <f>E25*C5/2</f>
        <v>800</v>
      </c>
      <c r="I25" s="36"/>
      <c r="J25" s="36"/>
    </row>
    <row r="26" spans="1:10" ht="15" x14ac:dyDescent="0.25">
      <c r="A26" s="17" t="s">
        <v>69</v>
      </c>
      <c r="B26" s="38">
        <f>B9/60*B11*B12</f>
        <v>0.75</v>
      </c>
      <c r="C26" s="34">
        <f>B26*B$5</f>
        <v>75</v>
      </c>
      <c r="E26" s="34">
        <f>C9/60*B11*C12</f>
        <v>3</v>
      </c>
      <c r="F26" s="34">
        <f>E26*(C5/2)</f>
        <v>300</v>
      </c>
      <c r="I26" s="34"/>
      <c r="J26" s="34"/>
    </row>
    <row r="27" spans="1:10" ht="15" x14ac:dyDescent="0.25">
      <c r="A27" s="17" t="s">
        <v>70</v>
      </c>
      <c r="B27" s="38">
        <f>B26*B25</f>
        <v>6</v>
      </c>
      <c r="C27" s="36">
        <f>B27*B$5</f>
        <v>600</v>
      </c>
      <c r="E27" s="34">
        <f>E25*E26</f>
        <v>24</v>
      </c>
      <c r="F27" s="34">
        <f>E27*(C5/2)</f>
        <v>2400</v>
      </c>
      <c r="I27" s="34">
        <f t="shared" ref="I27:J27" si="0">E27-B27</f>
        <v>18</v>
      </c>
      <c r="J27" s="34">
        <f t="shared" si="0"/>
        <v>1800</v>
      </c>
    </row>
    <row r="28" spans="1:10" ht="15" x14ac:dyDescent="0.25">
      <c r="A28" s="17" t="s">
        <v>71</v>
      </c>
      <c r="B28" s="38">
        <f>B7/3600*B13*B22+B9/3600*B13*B25</f>
        <v>103.33333333333333</v>
      </c>
      <c r="C28" s="34">
        <f>B28*B5</f>
        <v>10333.333333333332</v>
      </c>
      <c r="E28" s="34">
        <f>C7/3600*B13*E22+C9/3600*B13*E25</f>
        <v>406.66666666666669</v>
      </c>
      <c r="F28" s="34">
        <f>E28*C5/2</f>
        <v>40666.666666666672</v>
      </c>
      <c r="I28" s="34">
        <f>E28-B28</f>
        <v>303.33333333333337</v>
      </c>
      <c r="J28" s="34">
        <f>F28-C28</f>
        <v>30333.333333333339</v>
      </c>
    </row>
    <row r="29" spans="1:10" ht="15" x14ac:dyDescent="0.25">
      <c r="A29" s="2"/>
      <c r="B29" s="2"/>
      <c r="C29" s="2"/>
      <c r="D29" s="2"/>
      <c r="E29" s="2"/>
      <c r="F29" s="8"/>
      <c r="G29" s="2"/>
      <c r="I29" s="52"/>
      <c r="J29" s="52"/>
    </row>
    <row r="30" spans="1:10" ht="15" x14ac:dyDescent="0.25">
      <c r="D30" s="11"/>
      <c r="E30" s="20" t="s">
        <v>72</v>
      </c>
      <c r="F30" s="6"/>
      <c r="I30" s="38">
        <f>SUM(E20:E21,E24,E27:E28)-SUM(B20:B21, B24,B27:B28)</f>
        <v>1376.333333333333</v>
      </c>
      <c r="J30" s="34">
        <f>SUM(F20:F21,F24,F27:G28)-SUM(C20:C21,C24,C27:C28)</f>
        <v>157633.33333333337</v>
      </c>
    </row>
    <row r="31" spans="1:10" ht="15" x14ac:dyDescent="0.25">
      <c r="D31" s="11"/>
      <c r="E31" s="20" t="s">
        <v>28</v>
      </c>
      <c r="F31" s="6"/>
      <c r="I31" s="53">
        <v>0</v>
      </c>
      <c r="J31" s="34">
        <f>IF(I31="","",I31*B5)</f>
        <v>0</v>
      </c>
    </row>
    <row r="32" spans="1:10" ht="15" x14ac:dyDescent="0.25">
      <c r="D32" s="11"/>
      <c r="E32" s="20" t="s">
        <v>30</v>
      </c>
      <c r="F32" s="6"/>
      <c r="I32" s="53">
        <v>0</v>
      </c>
      <c r="J32" s="34">
        <f>IF(I32="","",I32*B5)</f>
        <v>0</v>
      </c>
    </row>
    <row r="33" spans="1:10" ht="15" x14ac:dyDescent="0.25">
      <c r="D33" s="11"/>
      <c r="E33" s="11" t="s">
        <v>29</v>
      </c>
      <c r="F33" s="6"/>
      <c r="I33" s="54">
        <f>SUM(I30:I32)</f>
        <v>1376.333333333333</v>
      </c>
      <c r="J33" s="54">
        <f>SUM(J30:J32)</f>
        <v>157633.33333333337</v>
      </c>
    </row>
    <row r="34" spans="1:10" ht="15" x14ac:dyDescent="0.25">
      <c r="A34" s="19"/>
      <c r="B34" s="2"/>
      <c r="C34" s="2"/>
      <c r="D34" s="2"/>
      <c r="E34" s="2"/>
      <c r="F34" s="2"/>
      <c r="G34" s="1"/>
    </row>
    <row r="35" spans="1:10" x14ac:dyDescent="0.2">
      <c r="A35" s="13"/>
      <c r="B35" s="1"/>
      <c r="C35" s="1"/>
      <c r="D35" s="1"/>
      <c r="E35" s="1"/>
      <c r="F35" s="1"/>
      <c r="G35" s="1"/>
    </row>
    <row r="36" spans="1:10" x14ac:dyDescent="0.2">
      <c r="A36" s="13"/>
      <c r="B36" s="1"/>
      <c r="C36" s="1"/>
      <c r="D36" s="1"/>
      <c r="E36" s="1"/>
      <c r="F36" s="1"/>
      <c r="G36" s="1"/>
    </row>
    <row r="37" spans="1:10" x14ac:dyDescent="0.2">
      <c r="A37" s="13"/>
    </row>
    <row r="38" spans="1:10" x14ac:dyDescent="0.2">
      <c r="A38" s="13"/>
    </row>
    <row r="39" spans="1:10" x14ac:dyDescent="0.2">
      <c r="A39" s="13"/>
    </row>
    <row r="40" spans="1:10" x14ac:dyDescent="0.2">
      <c r="A40" s="13"/>
    </row>
    <row r="41" spans="1:10" x14ac:dyDescent="0.2">
      <c r="A41" s="13"/>
    </row>
  </sheetData>
  <sheetProtection password="EF16" sheet="1" objects="1" scenarios="1" formatCells="0" selectLockedCells="1"/>
  <mergeCells count="12">
    <mergeCell ref="I18:J18"/>
    <mergeCell ref="B18:C18"/>
    <mergeCell ref="E18:F18"/>
    <mergeCell ref="A1:G1"/>
    <mergeCell ref="B8:C8"/>
    <mergeCell ref="B11:C11"/>
    <mergeCell ref="B13:C13"/>
    <mergeCell ref="E4:F4"/>
    <mergeCell ref="E5:E7"/>
    <mergeCell ref="F5:F7"/>
    <mergeCell ref="E8:E10"/>
    <mergeCell ref="F8:F10"/>
  </mergeCells>
  <conditionalFormatting sqref="I33:J33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F5 F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zoomScale="90" zoomScaleNormal="90" workbookViewId="0">
      <selection activeCell="B14" sqref="B14"/>
    </sheetView>
  </sheetViews>
  <sheetFormatPr baseColWidth="10" defaultColWidth="9.140625" defaultRowHeight="14.25" x14ac:dyDescent="0.2"/>
  <cols>
    <col min="1" max="1" width="32.7109375" style="3" customWidth="1"/>
    <col min="2" max="3" width="18.7109375" style="3" customWidth="1"/>
    <col min="4" max="4" width="12.7109375" style="3" customWidth="1"/>
    <col min="5" max="6" width="18.7109375" style="3" customWidth="1"/>
    <col min="7" max="7" width="19.28515625" style="3" hidden="1" customWidth="1"/>
    <col min="8" max="8" width="12.7109375" style="3" customWidth="1"/>
    <col min="9" max="10" width="18.7109375" style="3" customWidth="1"/>
    <col min="11" max="16384" width="9.140625" style="3"/>
  </cols>
  <sheetData>
    <row r="1" spans="1:7" ht="33.75" x14ac:dyDescent="0.4">
      <c r="A1" s="62" t="s">
        <v>42</v>
      </c>
      <c r="B1" s="62"/>
      <c r="C1" s="62"/>
      <c r="D1" s="62"/>
      <c r="E1" s="62"/>
      <c r="F1" s="62"/>
      <c r="G1" s="62"/>
    </row>
    <row r="2" spans="1:7" ht="15" customHeight="1" x14ac:dyDescent="0.3">
      <c r="A2" s="10"/>
      <c r="B2" s="10"/>
      <c r="C2" s="10"/>
      <c r="D2" s="10"/>
      <c r="E2" s="10"/>
      <c r="F2" s="10"/>
      <c r="G2" s="9" t="s">
        <v>57</v>
      </c>
    </row>
    <row r="3" spans="1:7" ht="15" x14ac:dyDescent="0.25">
      <c r="B3" s="9" t="s">
        <v>24</v>
      </c>
      <c r="C3" s="9" t="s">
        <v>16</v>
      </c>
      <c r="D3" s="2"/>
      <c r="G3" s="24" t="s">
        <v>47</v>
      </c>
    </row>
    <row r="4" spans="1:7" ht="18" x14ac:dyDescent="0.25">
      <c r="A4" s="16" t="s">
        <v>1</v>
      </c>
      <c r="B4" s="51">
        <v>375</v>
      </c>
      <c r="C4" s="51">
        <v>100</v>
      </c>
      <c r="D4" s="2"/>
      <c r="E4" s="67" t="s">
        <v>45</v>
      </c>
      <c r="F4" s="68"/>
      <c r="G4" s="21" t="s">
        <v>48</v>
      </c>
    </row>
    <row r="5" spans="1:7" ht="15" x14ac:dyDescent="0.25">
      <c r="A5" s="16" t="s">
        <v>2</v>
      </c>
      <c r="B5" s="63">
        <v>100</v>
      </c>
      <c r="C5" s="64"/>
      <c r="D5" s="14" t="s">
        <v>43</v>
      </c>
      <c r="E5" s="72" t="s">
        <v>55</v>
      </c>
      <c r="F5" s="73">
        <f>I32</f>
        <v>345.99999999999989</v>
      </c>
      <c r="G5" s="21" t="s">
        <v>48</v>
      </c>
    </row>
    <row r="6" spans="1:7" ht="15" x14ac:dyDescent="0.25">
      <c r="A6" s="16" t="s">
        <v>20</v>
      </c>
      <c r="B6" s="4">
        <v>4</v>
      </c>
      <c r="C6" s="27">
        <v>2</v>
      </c>
      <c r="D6" s="14" t="s">
        <v>9</v>
      </c>
      <c r="E6" s="72"/>
      <c r="F6" s="73"/>
      <c r="G6" s="22" t="s">
        <v>49</v>
      </c>
    </row>
    <row r="7" spans="1:7" ht="15" x14ac:dyDescent="0.25">
      <c r="A7" s="16" t="s">
        <v>7</v>
      </c>
      <c r="B7" s="4">
        <v>15</v>
      </c>
      <c r="C7" s="27">
        <v>30</v>
      </c>
      <c r="D7" s="14" t="s">
        <v>10</v>
      </c>
      <c r="E7" s="72"/>
      <c r="F7" s="73"/>
      <c r="G7" s="22" t="s">
        <v>53</v>
      </c>
    </row>
    <row r="8" spans="1:7" ht="15" x14ac:dyDescent="0.25">
      <c r="A8" s="16" t="s">
        <v>3</v>
      </c>
      <c r="B8" s="63">
        <v>20</v>
      </c>
      <c r="C8" s="64"/>
      <c r="D8" s="15" t="s">
        <v>11</v>
      </c>
      <c r="E8" s="72" t="s">
        <v>40</v>
      </c>
      <c r="F8" s="73">
        <f>J32</f>
        <v>44600.000000000015</v>
      </c>
      <c r="G8" s="22" t="s">
        <v>54</v>
      </c>
    </row>
    <row r="9" spans="1:7" ht="15" x14ac:dyDescent="0.25">
      <c r="A9" s="16" t="s">
        <v>8</v>
      </c>
      <c r="B9" s="4">
        <v>60</v>
      </c>
      <c r="C9" s="27">
        <v>120</v>
      </c>
      <c r="D9" s="14" t="s">
        <v>10</v>
      </c>
      <c r="E9" s="72"/>
      <c r="F9" s="73"/>
      <c r="G9" s="22" t="s">
        <v>50</v>
      </c>
    </row>
    <row r="10" spans="1:7" ht="15" x14ac:dyDescent="0.25">
      <c r="A10" s="16" t="s">
        <v>4</v>
      </c>
      <c r="B10" s="27">
        <v>2</v>
      </c>
      <c r="C10" s="27">
        <v>1</v>
      </c>
      <c r="D10" s="15" t="s">
        <v>22</v>
      </c>
      <c r="E10" s="72"/>
      <c r="F10" s="73"/>
      <c r="G10" s="22" t="s">
        <v>60</v>
      </c>
    </row>
    <row r="11" spans="1:7" ht="15" x14ac:dyDescent="0.25">
      <c r="A11" s="16" t="s">
        <v>5</v>
      </c>
      <c r="B11" s="65">
        <v>3</v>
      </c>
      <c r="C11" s="66"/>
      <c r="D11" s="15" t="s">
        <v>12</v>
      </c>
      <c r="G11" s="22" t="s">
        <v>51</v>
      </c>
    </row>
    <row r="12" spans="1:7" ht="15" x14ac:dyDescent="0.25">
      <c r="A12" s="16" t="s">
        <v>6</v>
      </c>
      <c r="B12" s="4">
        <v>0.25</v>
      </c>
      <c r="C12" s="27">
        <v>0.5</v>
      </c>
      <c r="D12" s="14" t="s">
        <v>13</v>
      </c>
      <c r="G12" s="22" t="s">
        <v>59</v>
      </c>
    </row>
    <row r="13" spans="1:7" ht="15" x14ac:dyDescent="0.25">
      <c r="A13" s="16" t="s">
        <v>18</v>
      </c>
      <c r="B13" s="57">
        <v>25</v>
      </c>
      <c r="C13" s="58"/>
      <c r="D13" s="15" t="s">
        <v>75</v>
      </c>
      <c r="G13" s="22" t="s">
        <v>48</v>
      </c>
    </row>
    <row r="14" spans="1:7" ht="15" x14ac:dyDescent="0.25">
      <c r="A14" s="16" t="s">
        <v>21</v>
      </c>
      <c r="B14" s="27">
        <v>1</v>
      </c>
      <c r="C14" s="27">
        <v>0</v>
      </c>
      <c r="D14" s="14" t="s">
        <v>22</v>
      </c>
      <c r="E14" s="23"/>
      <c r="G14" s="21" t="s">
        <v>52</v>
      </c>
    </row>
    <row r="15" spans="1:7" ht="15" x14ac:dyDescent="0.25">
      <c r="A15" s="16" t="s">
        <v>74</v>
      </c>
      <c r="B15" s="30">
        <v>3</v>
      </c>
      <c r="C15" s="30">
        <v>0</v>
      </c>
      <c r="D15" s="14" t="s">
        <v>73</v>
      </c>
    </row>
    <row r="16" spans="1:7" ht="15" thickBot="1" x14ac:dyDescent="0.25"/>
    <row r="17" spans="1:10" s="5" customFormat="1" x14ac:dyDescent="0.2"/>
    <row r="18" spans="1:10" ht="15" x14ac:dyDescent="0.25">
      <c r="A18" s="2"/>
      <c r="B18" s="71" t="str">
        <f>B3</f>
        <v>ALTAIR 2X</v>
      </c>
      <c r="C18" s="71"/>
      <c r="E18" s="71" t="str">
        <f>C3</f>
        <v>Competitor</v>
      </c>
      <c r="F18" s="71"/>
      <c r="I18" s="71" t="s">
        <v>62</v>
      </c>
      <c r="J18" s="71"/>
    </row>
    <row r="19" spans="1:10" ht="15" x14ac:dyDescent="0.25">
      <c r="A19" s="2"/>
      <c r="B19" s="7" t="s">
        <v>33</v>
      </c>
      <c r="C19" s="9" t="s">
        <v>40</v>
      </c>
      <c r="E19" s="9" t="s">
        <v>33</v>
      </c>
      <c r="F19" s="9" t="s">
        <v>40</v>
      </c>
      <c r="I19" s="9" t="s">
        <v>33</v>
      </c>
      <c r="J19" s="9" t="s">
        <v>40</v>
      </c>
    </row>
    <row r="20" spans="1:10" ht="15" x14ac:dyDescent="0.25">
      <c r="A20" s="17" t="s">
        <v>23</v>
      </c>
      <c r="B20" s="38">
        <f>B4</f>
        <v>375</v>
      </c>
      <c r="C20" s="34">
        <f>B4*B5</f>
        <v>37500</v>
      </c>
      <c r="E20" s="34">
        <f>C4</f>
        <v>100</v>
      </c>
      <c r="F20" s="34">
        <f>B5*C4*(B6/C6)</f>
        <v>20000</v>
      </c>
      <c r="I20" s="34">
        <f>E20-B20</f>
        <v>-275</v>
      </c>
      <c r="J20" s="34">
        <f>F20-C20</f>
        <v>-17500</v>
      </c>
    </row>
    <row r="21" spans="1:10" ht="15" x14ac:dyDescent="0.25">
      <c r="A21" s="17" t="s">
        <v>39</v>
      </c>
      <c r="B21" s="33">
        <f>(B14*B6*B15)*((5/60)*B13)</f>
        <v>24.999999999999996</v>
      </c>
      <c r="C21" s="34">
        <f>B21*B5</f>
        <v>2499.9999999999995</v>
      </c>
      <c r="E21" s="34">
        <f>(C14*B6*C15)*((5/60)*B13)</f>
        <v>0</v>
      </c>
      <c r="F21" s="34">
        <f>E21*B5</f>
        <v>0</v>
      </c>
      <c r="I21" s="34">
        <f>E21-B21</f>
        <v>-24.999999999999996</v>
      </c>
      <c r="J21" s="34">
        <f>F21-C21</f>
        <v>-2499.9999999999995</v>
      </c>
    </row>
    <row r="22" spans="1:10" ht="15" x14ac:dyDescent="0.25">
      <c r="A22" s="17" t="s">
        <v>67</v>
      </c>
      <c r="B22" s="35">
        <f>12*B6*B8</f>
        <v>960</v>
      </c>
      <c r="C22" s="36">
        <f>B22*B5</f>
        <v>96000</v>
      </c>
      <c r="E22" s="34">
        <f>12*B8*B6</f>
        <v>960</v>
      </c>
      <c r="F22" s="34">
        <f>E22*B5</f>
        <v>96000</v>
      </c>
      <c r="I22" s="36"/>
      <c r="J22" s="36"/>
    </row>
    <row r="23" spans="1:10" ht="15" x14ac:dyDescent="0.25">
      <c r="A23" s="17" t="s">
        <v>65</v>
      </c>
      <c r="B23" s="38">
        <f>B7/60*B11*B12</f>
        <v>0.1875</v>
      </c>
      <c r="C23" s="34">
        <f>B23*B$5</f>
        <v>18.75</v>
      </c>
      <c r="E23" s="34">
        <f>C7/60*B11*C12</f>
        <v>0.75</v>
      </c>
      <c r="F23" s="34">
        <f>E23*B$5</f>
        <v>75</v>
      </c>
      <c r="I23" s="34"/>
      <c r="J23" s="34"/>
    </row>
    <row r="24" spans="1:10" ht="15" x14ac:dyDescent="0.25">
      <c r="A24" s="17" t="s">
        <v>66</v>
      </c>
      <c r="B24" s="38">
        <f>B22*B23</f>
        <v>180</v>
      </c>
      <c r="C24" s="34">
        <f>B24*B$5</f>
        <v>18000</v>
      </c>
      <c r="E24" s="34">
        <f>E22*E23</f>
        <v>720</v>
      </c>
      <c r="F24" s="34">
        <f>E24*B$5</f>
        <v>72000</v>
      </c>
      <c r="I24" s="34">
        <f>E24-B24</f>
        <v>540</v>
      </c>
      <c r="J24" s="34">
        <f>F24-C24</f>
        <v>54000</v>
      </c>
    </row>
    <row r="25" spans="1:10" ht="15" x14ac:dyDescent="0.25">
      <c r="A25" s="17" t="s">
        <v>68</v>
      </c>
      <c r="B25" s="35">
        <f>B10*B6</f>
        <v>8</v>
      </c>
      <c r="C25" s="36">
        <f>B25*B5</f>
        <v>800</v>
      </c>
      <c r="E25" s="34">
        <f>C10*B6</f>
        <v>4</v>
      </c>
      <c r="F25" s="36">
        <f>E25*B5</f>
        <v>400</v>
      </c>
      <c r="I25" s="36"/>
      <c r="J25" s="36"/>
    </row>
    <row r="26" spans="1:10" ht="15" x14ac:dyDescent="0.25">
      <c r="A26" s="17" t="s">
        <v>69</v>
      </c>
      <c r="B26" s="38">
        <f>B9/60*B11*B12</f>
        <v>0.75</v>
      </c>
      <c r="C26" s="34">
        <f>B26*B$5</f>
        <v>75</v>
      </c>
      <c r="E26" s="34">
        <f>C9/60*B11*C12</f>
        <v>3</v>
      </c>
      <c r="F26" s="34">
        <f>E26*B$5</f>
        <v>300</v>
      </c>
      <c r="I26" s="34"/>
      <c r="J26" s="34"/>
    </row>
    <row r="27" spans="1:10" ht="15" x14ac:dyDescent="0.25">
      <c r="A27" s="17" t="s">
        <v>70</v>
      </c>
      <c r="B27" s="38">
        <f>B26*B25</f>
        <v>6</v>
      </c>
      <c r="C27" s="36">
        <f>B27*B$5</f>
        <v>600</v>
      </c>
      <c r="E27" s="34">
        <f>E25*E26</f>
        <v>12</v>
      </c>
      <c r="F27" s="34">
        <f>E27*B$5</f>
        <v>1200</v>
      </c>
      <c r="I27" s="34">
        <f t="shared" ref="I27:J27" si="0">E27-B27</f>
        <v>6</v>
      </c>
      <c r="J27" s="34">
        <f t="shared" si="0"/>
        <v>600</v>
      </c>
    </row>
    <row r="28" spans="1:10" ht="15" x14ac:dyDescent="0.25">
      <c r="A28" s="17" t="s">
        <v>71</v>
      </c>
      <c r="B28" s="38">
        <f>B7/3600*B13*B22+B9/3600*B13*B25</f>
        <v>103.33333333333333</v>
      </c>
      <c r="C28" s="34">
        <f>B28*B5</f>
        <v>10333.333333333332</v>
      </c>
      <c r="E28" s="34">
        <f>C7/3600*B13*E22+C9/3600*B13*E25</f>
        <v>203.33333333333334</v>
      </c>
      <c r="F28" s="34">
        <f>E28*B5</f>
        <v>20333.333333333336</v>
      </c>
      <c r="I28" s="34">
        <f>E28-B28</f>
        <v>100.00000000000001</v>
      </c>
      <c r="J28" s="34">
        <f>F28-C28</f>
        <v>10000.000000000004</v>
      </c>
    </row>
    <row r="29" spans="1:10" ht="15" x14ac:dyDescent="0.25">
      <c r="A29" s="2"/>
      <c r="B29" s="2"/>
      <c r="C29" s="2"/>
      <c r="D29" s="2"/>
      <c r="E29" s="2"/>
      <c r="F29" s="8"/>
      <c r="I29" s="52"/>
      <c r="J29" s="52"/>
    </row>
    <row r="30" spans="1:10" ht="15" x14ac:dyDescent="0.25">
      <c r="D30" s="11"/>
      <c r="E30" s="20" t="s">
        <v>72</v>
      </c>
      <c r="G30" s="2"/>
      <c r="I30" s="38">
        <f>SUM(E20:E21,E24,E27:E28)-SUM(B20:B21,B24,B27:B28)</f>
        <v>345.99999999999989</v>
      </c>
      <c r="J30" s="34">
        <f>SUM(F20:F21,F24,F27:F28)-SUM(C20:C21,C24,C27:C28)</f>
        <v>44600.000000000015</v>
      </c>
    </row>
    <row r="31" spans="1:10" ht="15" x14ac:dyDescent="0.25">
      <c r="D31" s="11"/>
      <c r="E31" s="20" t="s">
        <v>26</v>
      </c>
      <c r="I31" s="53">
        <v>0</v>
      </c>
      <c r="J31" s="34">
        <f>IF(I31="","",I31*B5*B6/C6)</f>
        <v>0</v>
      </c>
    </row>
    <row r="32" spans="1:10" ht="15" x14ac:dyDescent="0.25">
      <c r="D32" s="11"/>
      <c r="E32" s="11" t="s">
        <v>25</v>
      </c>
      <c r="I32" s="54">
        <f>SUM(I30:I31)</f>
        <v>345.99999999999989</v>
      </c>
      <c r="J32" s="55">
        <f>SUM(J30:J31)</f>
        <v>44600.000000000015</v>
      </c>
    </row>
    <row r="33" spans="1:7" ht="15" x14ac:dyDescent="0.25">
      <c r="A33" s="19"/>
      <c r="B33" s="2"/>
      <c r="C33" s="2"/>
      <c r="D33" s="2"/>
      <c r="E33" s="2"/>
      <c r="F33" s="2"/>
    </row>
    <row r="34" spans="1:7" x14ac:dyDescent="0.2">
      <c r="A34" s="13"/>
      <c r="B34" s="1"/>
      <c r="C34" s="1"/>
      <c r="D34" s="1"/>
      <c r="E34" s="1"/>
      <c r="F34" s="1"/>
      <c r="G34" s="1"/>
    </row>
    <row r="35" spans="1:7" x14ac:dyDescent="0.2">
      <c r="A35" s="13"/>
      <c r="B35" s="1"/>
      <c r="C35" s="1"/>
      <c r="D35" s="1"/>
      <c r="E35" s="1"/>
      <c r="F35" s="1"/>
      <c r="G35" s="1"/>
    </row>
    <row r="36" spans="1:7" x14ac:dyDescent="0.2">
      <c r="A36" s="13"/>
      <c r="G36" s="1"/>
    </row>
    <row r="37" spans="1:7" x14ac:dyDescent="0.2">
      <c r="A37" s="13"/>
    </row>
    <row r="38" spans="1:7" x14ac:dyDescent="0.2">
      <c r="A38" s="13"/>
    </row>
    <row r="39" spans="1:7" x14ac:dyDescent="0.2">
      <c r="A39" s="13"/>
    </row>
    <row r="40" spans="1:7" x14ac:dyDescent="0.2">
      <c r="A40" s="13"/>
    </row>
  </sheetData>
  <sheetProtection password="EF16" sheet="1" objects="1" scenarios="1" formatCells="0" selectLockedCells="1"/>
  <mergeCells count="13">
    <mergeCell ref="I18:J18"/>
    <mergeCell ref="B18:C18"/>
    <mergeCell ref="E18:F18"/>
    <mergeCell ref="B8:C8"/>
    <mergeCell ref="A1:G1"/>
    <mergeCell ref="B5:C5"/>
    <mergeCell ref="B11:C11"/>
    <mergeCell ref="B13:C13"/>
    <mergeCell ref="E4:F4"/>
    <mergeCell ref="E5:E7"/>
    <mergeCell ref="F5:F7"/>
    <mergeCell ref="E8:E10"/>
    <mergeCell ref="F8:F10"/>
  </mergeCells>
  <conditionalFormatting sqref="I32:J32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F5 F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A2XP with Stand-alone Bump Test</vt:lpstr>
      <vt:lpstr>A2XT Two-Tox Detector</vt:lpstr>
      <vt:lpstr>A2X with Standard XCell Sensors</vt:lpstr>
    </vt:vector>
  </TitlesOfParts>
  <Company>MSA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Betsy Harchick</dc:creator>
  <cp:lastModifiedBy>Diskar, Frank</cp:lastModifiedBy>
  <dcterms:created xsi:type="dcterms:W3CDTF">2013-07-12T17:05:15Z</dcterms:created>
  <dcterms:modified xsi:type="dcterms:W3CDTF">2014-12-12T15:43:02Z</dcterms:modified>
</cp:coreProperties>
</file>